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25" windowWidth="14805" windowHeight="7890" activeTab="2"/>
  </bookViews>
  <sheets>
    <sheet name="S1Q1" sheetId="1" r:id="rId1"/>
    <sheet name="S1 Q2" sheetId="2" r:id="rId2"/>
    <sheet name="S1 Q3" sheetId="3" r:id="rId3"/>
    <sheet name="S2 Q1" sheetId="4" r:id="rId4"/>
    <sheet name="S2 Q2" sheetId="5" r:id="rId5"/>
    <sheet name="S2 Q3" sheetId="6" r:id="rId6"/>
    <sheet name="Compatibility Report" sheetId="7" state="hidden" r:id="rId7"/>
  </sheets>
  <calcPr calcId="144525"/>
</workbook>
</file>

<file path=xl/calcChain.xml><?xml version="1.0" encoding="utf-8"?>
<calcChain xmlns="http://schemas.openxmlformats.org/spreadsheetml/2006/main">
  <c r="B2" i="2" l="1"/>
  <c r="D4" i="5" l="1"/>
  <c r="C4" i="5"/>
  <c r="B28" i="5" l="1"/>
  <c r="C27" i="5"/>
  <c r="B27" i="5"/>
  <c r="J30" i="2"/>
  <c r="N42" i="1"/>
  <c r="R42" i="1"/>
  <c r="T45" i="1" l="1"/>
  <c r="T47" i="1" s="1"/>
  <c r="N8" i="1"/>
  <c r="U42" i="1"/>
  <c r="Q36" i="1"/>
  <c r="T39" i="1"/>
  <c r="K39" i="1"/>
  <c r="N36" i="1"/>
  <c r="U8" i="1"/>
  <c r="U9" i="1" s="1"/>
  <c r="U11" i="1" s="1"/>
  <c r="U13" i="1" s="1"/>
  <c r="U15" i="1" s="1"/>
  <c r="U17" i="1" s="1"/>
  <c r="U19" i="1" s="1"/>
  <c r="U21" i="1" s="1"/>
  <c r="U23" i="1" s="1"/>
  <c r="U25" i="1" s="1"/>
  <c r="U27" i="1" s="1"/>
  <c r="U29" i="1" s="1"/>
  <c r="U31" i="1" s="1"/>
  <c r="U33" i="1" s="1"/>
  <c r="U35" i="1" s="1"/>
  <c r="U37" i="1" s="1"/>
  <c r="U39" i="1" s="1"/>
  <c r="U41" i="1" l="1"/>
  <c r="U43" i="1" s="1"/>
  <c r="U45" i="1" s="1"/>
  <c r="U47" i="1" s="1"/>
  <c r="B76" i="6"/>
  <c r="B71" i="6"/>
  <c r="G14" i="6" s="1"/>
  <c r="K14" i="6" s="1"/>
  <c r="M14" i="6" s="1"/>
  <c r="B66" i="6"/>
  <c r="B59" i="6"/>
  <c r="B61" i="6" s="1"/>
  <c r="G6" i="6" s="1"/>
  <c r="K6" i="6" s="1"/>
  <c r="O6" i="6" s="1"/>
  <c r="B56" i="6"/>
  <c r="G20" i="6" s="1"/>
  <c r="K20" i="6" s="1"/>
  <c r="M20" i="6" s="1"/>
  <c r="C51" i="6"/>
  <c r="H13" i="6" s="1"/>
  <c r="L13" i="6" s="1"/>
  <c r="N13" i="6" s="1"/>
  <c r="N22" i="6" s="1"/>
  <c r="B46" i="6"/>
  <c r="G7" i="6" s="1"/>
  <c r="J8" i="6" s="1"/>
  <c r="L8" i="6" s="1"/>
  <c r="C41" i="6"/>
  <c r="H10" i="6" s="1"/>
  <c r="L10" i="6" s="1"/>
  <c r="P10" i="6" s="1"/>
  <c r="B36" i="6"/>
  <c r="C31" i="6"/>
  <c r="B26" i="6"/>
  <c r="I22" i="6"/>
  <c r="C21" i="6"/>
  <c r="X19" i="6"/>
  <c r="G19" i="6"/>
  <c r="K19" i="6" s="1"/>
  <c r="M19" i="6" s="1"/>
  <c r="G18" i="6"/>
  <c r="K18" i="6" s="1"/>
  <c r="M18" i="6" s="1"/>
  <c r="K17" i="6"/>
  <c r="K16" i="6"/>
  <c r="C16" i="6"/>
  <c r="U15" i="6"/>
  <c r="H12" i="6"/>
  <c r="L12" i="6" s="1"/>
  <c r="U11" i="6"/>
  <c r="H11" i="6"/>
  <c r="L11" i="6" s="1"/>
  <c r="P11" i="6" s="1"/>
  <c r="X10" i="6"/>
  <c r="H9" i="6"/>
  <c r="B6" i="6"/>
  <c r="B9" i="6" s="1"/>
  <c r="B11" i="6" s="1"/>
  <c r="G15" i="6" s="1"/>
  <c r="K15" i="6" s="1"/>
  <c r="M15" i="6" s="1"/>
  <c r="G5" i="6"/>
  <c r="K5" i="6" s="1"/>
  <c r="O5" i="6" s="1"/>
  <c r="G4" i="6"/>
  <c r="G3" i="6"/>
  <c r="H22" i="6" l="1"/>
  <c r="U49" i="1"/>
  <c r="J4" i="6"/>
  <c r="J22" i="6" s="1"/>
  <c r="G22" i="6"/>
  <c r="M22" i="6"/>
  <c r="N21" i="6" s="1"/>
  <c r="P12" i="6" s="1"/>
  <c r="K3" i="6"/>
  <c r="K7" i="6"/>
  <c r="O7" i="6" s="1"/>
  <c r="L9" i="6"/>
  <c r="P9" i="6" s="1"/>
  <c r="K4" i="6" l="1"/>
  <c r="O4" i="6" s="1"/>
  <c r="L22" i="6"/>
  <c r="K22" i="6"/>
  <c r="O3" i="6"/>
  <c r="O22" i="6" s="1"/>
  <c r="P22" i="6"/>
  <c r="D14" i="5" l="1"/>
  <c r="C14" i="5"/>
  <c r="D13" i="5"/>
  <c r="C13" i="5"/>
  <c r="D11" i="5"/>
  <c r="C11" i="5"/>
  <c r="D7" i="5"/>
  <c r="C7" i="5"/>
  <c r="C8" i="5" s="1"/>
  <c r="D6" i="5"/>
  <c r="C6" i="5"/>
  <c r="D5" i="5"/>
  <c r="C5" i="5"/>
  <c r="C15" i="5" l="1"/>
  <c r="B26" i="5" s="1"/>
  <c r="C9" i="5"/>
  <c r="D8" i="5"/>
  <c r="D15" i="5" s="1"/>
  <c r="C26" i="5" s="1"/>
  <c r="C17" i="5" l="1"/>
  <c r="C12" i="5"/>
  <c r="B25" i="5" s="1"/>
  <c r="C10" i="5"/>
  <c r="D9" i="5"/>
  <c r="D17" i="5" l="1"/>
  <c r="D12" i="5"/>
  <c r="C25" i="5" s="1"/>
  <c r="D10" i="5"/>
  <c r="F43" i="4" l="1"/>
  <c r="E54" i="4" s="1"/>
  <c r="F35" i="4"/>
  <c r="E53" i="4" s="1"/>
  <c r="E16" i="4"/>
  <c r="E28" i="4" l="1"/>
  <c r="F30" i="4" s="1"/>
  <c r="E51" i="4"/>
  <c r="F44" i="4" l="1"/>
  <c r="E52" i="4"/>
  <c r="K32" i="3"/>
  <c r="H32" i="3"/>
  <c r="H33" i="3" s="1"/>
  <c r="I33" i="3" s="1"/>
  <c r="K31" i="3"/>
  <c r="H31" i="3"/>
  <c r="I31" i="3" s="1"/>
  <c r="K28" i="3"/>
  <c r="K27" i="3"/>
  <c r="I25" i="3"/>
  <c r="I26" i="3" s="1"/>
  <c r="E21" i="3"/>
  <c r="C20" i="3"/>
  <c r="I18" i="3"/>
  <c r="K33" i="3" s="1"/>
  <c r="I15" i="3"/>
  <c r="I14" i="3" s="1"/>
  <c r="D42" i="3" s="1"/>
  <c r="C14" i="3"/>
  <c r="I13" i="3"/>
  <c r="I10" i="3"/>
  <c r="C10" i="3"/>
  <c r="E7" i="3"/>
  <c r="E17" i="3" s="1"/>
  <c r="C17" i="3" l="1"/>
  <c r="I12" i="3"/>
  <c r="G44" i="4"/>
  <c r="F46" i="4"/>
  <c r="E22" i="3"/>
  <c r="E26" i="3"/>
  <c r="I11" i="3"/>
  <c r="I9" i="3" s="1"/>
  <c r="I8" i="3" l="1"/>
  <c r="E25" i="3" s="1"/>
  <c r="I7" i="3"/>
  <c r="E24" i="3" s="1"/>
  <c r="I6" i="3"/>
  <c r="I5" i="3" l="1"/>
  <c r="H40" i="3"/>
  <c r="K23" i="3" l="1"/>
  <c r="K25" i="3" s="1"/>
  <c r="K35" i="3" s="1"/>
  <c r="I24" i="3"/>
  <c r="C23" i="3" s="1"/>
  <c r="E23" i="3" l="1"/>
  <c r="D15" i="2"/>
  <c r="B14" i="2"/>
  <c r="B9" i="2"/>
  <c r="B8" i="2"/>
  <c r="B7" i="2"/>
  <c r="Q46" i="1"/>
  <c r="L46" i="1"/>
  <c r="S40" i="1"/>
  <c r="K40" i="1"/>
  <c r="Q34" i="1"/>
  <c r="B67" i="1" s="1"/>
  <c r="N34" i="1"/>
  <c r="P30" i="1"/>
  <c r="M30" i="1"/>
  <c r="Q28" i="1"/>
  <c r="N28" i="1"/>
  <c r="M28" i="1"/>
  <c r="S14" i="1"/>
  <c r="M14" i="1"/>
  <c r="N12" i="1"/>
  <c r="M12" i="1"/>
  <c r="N10" i="1"/>
  <c r="L10" i="1"/>
  <c r="S7" i="1"/>
  <c r="Q7" i="1"/>
  <c r="O7" i="1"/>
  <c r="M7" i="1"/>
  <c r="L7" i="1"/>
  <c r="L9" i="1" s="1"/>
  <c r="R6" i="1"/>
  <c r="N6" i="1"/>
  <c r="P4" i="1"/>
  <c r="P5" i="1" s="1"/>
  <c r="P7" i="1" s="1"/>
  <c r="N4" i="1"/>
  <c r="N5" i="1" s="1"/>
  <c r="C28" i="3" l="1"/>
  <c r="I23" i="3" s="1"/>
  <c r="I28" i="3" s="1"/>
  <c r="I35" i="3" s="1"/>
  <c r="B41" i="3"/>
  <c r="B10" i="2"/>
  <c r="D8" i="2" s="1"/>
  <c r="D9" i="2" s="1"/>
  <c r="R7" i="1"/>
  <c r="R9" i="1" s="1"/>
  <c r="O11" i="1"/>
  <c r="O13" i="1" s="1"/>
  <c r="O15" i="1" s="1"/>
  <c r="O17" i="1" s="1"/>
  <c r="O19" i="1" s="1"/>
  <c r="O21" i="1" s="1"/>
  <c r="O23" i="1" s="1"/>
  <c r="O25" i="1" s="1"/>
  <c r="O27" i="1" s="1"/>
  <c r="O29" i="1" s="1"/>
  <c r="O31" i="1" s="1"/>
  <c r="O33" i="1" s="1"/>
  <c r="O35" i="1" s="1"/>
  <c r="O9" i="1"/>
  <c r="S11" i="1"/>
  <c r="S13" i="1" s="1"/>
  <c r="S15" i="1" s="1"/>
  <c r="S17" i="1" s="1"/>
  <c r="S19" i="1" s="1"/>
  <c r="S21" i="1" s="1"/>
  <c r="S23" i="1" s="1"/>
  <c r="S25" i="1" s="1"/>
  <c r="S27" i="1" s="1"/>
  <c r="S29" i="1" s="1"/>
  <c r="S31" i="1" s="1"/>
  <c r="S33" i="1" s="1"/>
  <c r="S35" i="1" s="1"/>
  <c r="S9" i="1"/>
  <c r="P11" i="1"/>
  <c r="P13" i="1" s="1"/>
  <c r="P15" i="1" s="1"/>
  <c r="P17" i="1" s="1"/>
  <c r="P19" i="1" s="1"/>
  <c r="P21" i="1" s="1"/>
  <c r="P23" i="1" s="1"/>
  <c r="P25" i="1" s="1"/>
  <c r="P27" i="1" s="1"/>
  <c r="P29" i="1" s="1"/>
  <c r="P31" i="1" s="1"/>
  <c r="P33" i="1" s="1"/>
  <c r="P35" i="1" s="1"/>
  <c r="P9" i="1"/>
  <c r="M11" i="1"/>
  <c r="M13" i="1" s="1"/>
  <c r="M15" i="1" s="1"/>
  <c r="M17" i="1" s="1"/>
  <c r="M19" i="1" s="1"/>
  <c r="M21" i="1" s="1"/>
  <c r="M23" i="1" s="1"/>
  <c r="M25" i="1" s="1"/>
  <c r="M27" i="1" s="1"/>
  <c r="M29" i="1" s="1"/>
  <c r="M31" i="1" s="1"/>
  <c r="M33" i="1" s="1"/>
  <c r="M35" i="1" s="1"/>
  <c r="M9" i="1"/>
  <c r="Q11" i="1"/>
  <c r="Q13" i="1" s="1"/>
  <c r="Q15" i="1" s="1"/>
  <c r="Q17" i="1" s="1"/>
  <c r="Q19" i="1" s="1"/>
  <c r="Q21" i="1" s="1"/>
  <c r="Q23" i="1" s="1"/>
  <c r="Q25" i="1" s="1"/>
  <c r="Q27" i="1" s="1"/>
  <c r="Q29" i="1" s="1"/>
  <c r="Q31" i="1" s="1"/>
  <c r="Q33" i="1" s="1"/>
  <c r="Q35" i="1" s="1"/>
  <c r="Q9" i="1"/>
  <c r="K41" i="1"/>
  <c r="L11" i="1"/>
  <c r="L13" i="1" s="1"/>
  <c r="L15" i="1" s="1"/>
  <c r="L17" i="1" s="1"/>
  <c r="L19" i="1" s="1"/>
  <c r="L21" i="1" s="1"/>
  <c r="L23" i="1" s="1"/>
  <c r="L25" i="1" s="1"/>
  <c r="L27" i="1" s="1"/>
  <c r="L29" i="1" s="1"/>
  <c r="L31" i="1" s="1"/>
  <c r="L33" i="1" s="1"/>
  <c r="L35" i="1" s="1"/>
  <c r="N7" i="1"/>
  <c r="B11" i="2" l="1"/>
  <c r="B12" i="2" s="1"/>
  <c r="R11" i="1"/>
  <c r="R13" i="1" s="1"/>
  <c r="R15" i="1" s="1"/>
  <c r="R17" i="1" s="1"/>
  <c r="R19" i="1" s="1"/>
  <c r="R21" i="1" s="1"/>
  <c r="R23" i="1" s="1"/>
  <c r="R25" i="1" s="1"/>
  <c r="R27" i="1" s="1"/>
  <c r="R29" i="1" s="1"/>
  <c r="R31" i="1" s="1"/>
  <c r="R33" i="1" s="1"/>
  <c r="R35" i="1" s="1"/>
  <c r="R37" i="1" s="1"/>
  <c r="R39" i="1" s="1"/>
  <c r="R41" i="1" s="1"/>
  <c r="K43" i="1"/>
  <c r="P37" i="1"/>
  <c r="P39" i="1" s="1"/>
  <c r="P41" i="1" s="1"/>
  <c r="M37" i="1"/>
  <c r="M39" i="1" s="1"/>
  <c r="M41" i="1" s="1"/>
  <c r="L37" i="1"/>
  <c r="L39" i="1" s="1"/>
  <c r="L41" i="1" s="1"/>
  <c r="Q37" i="1"/>
  <c r="Q39" i="1" s="1"/>
  <c r="Q41" i="1" s="1"/>
  <c r="S37" i="1"/>
  <c r="S39" i="1" s="1"/>
  <c r="S41" i="1" s="1"/>
  <c r="O37" i="1"/>
  <c r="O39" i="1" s="1"/>
  <c r="O41" i="1" s="1"/>
  <c r="N9" i="1"/>
  <c r="N11" i="1" s="1"/>
  <c r="N13" i="1" s="1"/>
  <c r="N15" i="1" s="1"/>
  <c r="N17" i="1" s="1"/>
  <c r="N19" i="1" s="1"/>
  <c r="N21" i="1" s="1"/>
  <c r="N23" i="1" s="1"/>
  <c r="N25" i="1" s="1"/>
  <c r="N27" i="1" s="1"/>
  <c r="N29" i="1" s="1"/>
  <c r="N31" i="1" s="1"/>
  <c r="N33" i="1" s="1"/>
  <c r="N35" i="1" s="1"/>
  <c r="B15" i="2" l="1"/>
  <c r="B16" i="2" s="1"/>
  <c r="K44" i="1"/>
  <c r="Q44" i="1"/>
  <c r="R43" i="1"/>
  <c r="R45" i="1" s="1"/>
  <c r="R47" i="1" s="1"/>
  <c r="R49" i="1" s="1"/>
  <c r="D54" i="1" s="1"/>
  <c r="B68" i="1" s="1"/>
  <c r="O43" i="1"/>
  <c r="O45" i="1" s="1"/>
  <c r="O47" i="1" s="1"/>
  <c r="O49" i="1" s="1"/>
  <c r="Q43" i="1"/>
  <c r="M43" i="1"/>
  <c r="M45" i="1" s="1"/>
  <c r="M47" i="1" s="1"/>
  <c r="M49" i="1" s="1"/>
  <c r="B54" i="1" s="1"/>
  <c r="S43" i="1"/>
  <c r="S45" i="1" s="1"/>
  <c r="S47" i="1" s="1"/>
  <c r="S49" i="1" s="1"/>
  <c r="D53" i="1" s="1"/>
  <c r="L43" i="1"/>
  <c r="L45" i="1" s="1"/>
  <c r="L47" i="1" s="1"/>
  <c r="L49" i="1" s="1"/>
  <c r="B55" i="1" s="1"/>
  <c r="P43" i="1"/>
  <c r="P45" i="1" s="1"/>
  <c r="P47" i="1" s="1"/>
  <c r="P49" i="1" s="1"/>
  <c r="D57" i="1" s="1"/>
  <c r="N37" i="1"/>
  <c r="N39" i="1" s="1"/>
  <c r="N41" i="1" s="1"/>
  <c r="B17" i="2" l="1"/>
  <c r="B19" i="2" s="1"/>
  <c r="B23" i="2" s="1"/>
  <c r="B25" i="2"/>
  <c r="K45" i="1"/>
  <c r="K47" i="1" s="1"/>
  <c r="K49" i="1" s="1"/>
  <c r="B58" i="1" s="1"/>
  <c r="B59" i="1" s="1"/>
  <c r="Q45" i="1"/>
  <c r="Q47" i="1" s="1"/>
  <c r="N43" i="1"/>
  <c r="D19" i="2" l="1"/>
  <c r="D11" i="2"/>
  <c r="D12" i="2" s="1"/>
  <c r="N45" i="1"/>
  <c r="N47" i="1" s="1"/>
  <c r="N49" i="1" s="1"/>
  <c r="B53" i="1" s="1"/>
  <c r="T48" i="1"/>
  <c r="T49" i="1" s="1"/>
  <c r="D55" i="1" s="1"/>
  <c r="Q48" i="1"/>
  <c r="Q49" i="1" s="1"/>
  <c r="D58" i="1" s="1"/>
  <c r="D16" i="2" l="1"/>
  <c r="D18" i="2" s="1"/>
  <c r="B24" i="2" s="1"/>
  <c r="D59" i="1"/>
  <c r="B69" i="1"/>
  <c r="B66" i="1"/>
  <c r="B56" i="1"/>
  <c r="B60" i="1" s="1"/>
  <c r="B65" i="1"/>
  <c r="D56" i="1"/>
  <c r="D60" i="1" l="1"/>
</calcChain>
</file>

<file path=xl/comments1.xml><?xml version="1.0" encoding="utf-8"?>
<comments xmlns="http://schemas.openxmlformats.org/spreadsheetml/2006/main">
  <authors>
    <author>Author</author>
  </authors>
  <commentList>
    <comment ref="B1" authorId="0">
      <text>
        <r>
          <rPr>
            <b/>
            <sz val="9"/>
            <color indexed="81"/>
            <rFont val="Tahoma"/>
            <family val="2"/>
          </rPr>
          <t>Day of Birth</t>
        </r>
      </text>
    </comment>
    <comment ref="C1" authorId="0">
      <text>
        <r>
          <rPr>
            <b/>
            <sz val="9"/>
            <color indexed="81"/>
            <rFont val="Tahoma"/>
            <family val="2"/>
          </rPr>
          <t>last three digits of your roll number</t>
        </r>
      </text>
    </comment>
  </commentList>
</comments>
</file>

<file path=xl/comments2.xml><?xml version="1.0" encoding="utf-8"?>
<comments xmlns="http://schemas.openxmlformats.org/spreadsheetml/2006/main">
  <authors>
    <author>Author</author>
  </authors>
  <commentList>
    <comment ref="C23" authorId="0">
      <text>
        <r>
          <rPr>
            <b/>
            <sz val="8"/>
            <color indexed="81"/>
            <rFont val="Tahoma"/>
            <family val="2"/>
          </rPr>
          <t>Author:</t>
        </r>
        <r>
          <rPr>
            <sz val="8"/>
            <color indexed="81"/>
            <rFont val="Tahoma"/>
            <family val="2"/>
          </rPr>
          <t xml:space="preserve">
(Opening Receivables Balance + Sales - Closing Receivables Balance)</t>
        </r>
      </text>
    </comment>
    <comment ref="E23" authorId="0">
      <text>
        <r>
          <rPr>
            <b/>
            <sz val="8"/>
            <color indexed="81"/>
            <rFont val="Tahoma"/>
            <family val="2"/>
          </rPr>
          <t>Author:</t>
        </r>
        <r>
          <rPr>
            <sz val="8"/>
            <color indexed="81"/>
            <rFont val="Tahoma"/>
            <family val="2"/>
          </rPr>
          <t xml:space="preserve">
(Opening Payables Balance + Purchases - Closing Payables Balance)</t>
        </r>
      </text>
    </comment>
    <comment ref="I23" authorId="0">
      <text>
        <r>
          <rPr>
            <b/>
            <sz val="8"/>
            <color indexed="81"/>
            <rFont val="Tahoma"/>
            <family val="2"/>
          </rPr>
          <t>Author:</t>
        </r>
        <r>
          <rPr>
            <sz val="8"/>
            <color indexed="81"/>
            <rFont val="Tahoma"/>
            <family val="2"/>
          </rPr>
          <t xml:space="preserve">
Taken from the cash balance</t>
        </r>
      </text>
    </comment>
    <comment ref="K23" authorId="0">
      <text>
        <r>
          <rPr>
            <b/>
            <sz val="8"/>
            <color indexed="81"/>
            <rFont val="Tahoma"/>
            <family val="2"/>
          </rPr>
          <t>Author:</t>
        </r>
        <r>
          <rPr>
            <sz val="8"/>
            <color indexed="81"/>
            <rFont val="Tahoma"/>
            <family val="2"/>
          </rPr>
          <t xml:space="preserve">
Taken as 10% of the Purchases i.e., 6484.5</t>
        </r>
      </text>
    </comment>
    <comment ref="I24" authorId="0">
      <text>
        <r>
          <rPr>
            <b/>
            <sz val="8"/>
            <color indexed="81"/>
            <rFont val="Tahoma"/>
            <family val="2"/>
          </rPr>
          <t>Author:</t>
        </r>
        <r>
          <rPr>
            <sz val="8"/>
            <color indexed="81"/>
            <rFont val="Tahoma"/>
            <family val="2"/>
          </rPr>
          <t xml:space="preserve">
Taken as one months Sales</t>
        </r>
      </text>
    </comment>
    <comment ref="E27" authorId="0">
      <text>
        <r>
          <rPr>
            <b/>
            <sz val="8"/>
            <color indexed="81"/>
            <rFont val="Tahoma"/>
            <family val="2"/>
          </rPr>
          <t>Author:</t>
        </r>
        <r>
          <rPr>
            <sz val="8"/>
            <color indexed="81"/>
            <rFont val="Tahoma"/>
            <family val="2"/>
          </rPr>
          <t xml:space="preserve">
Assumed to be cleared due to excess cash</t>
        </r>
      </text>
    </comment>
    <comment ref="I27" authorId="0">
      <text>
        <r>
          <rPr>
            <b/>
            <sz val="8"/>
            <color indexed="81"/>
            <rFont val="Tahoma"/>
            <family val="2"/>
          </rPr>
          <t>Author:</t>
        </r>
        <r>
          <rPr>
            <sz val="8"/>
            <color indexed="81"/>
            <rFont val="Tahoma"/>
            <family val="2"/>
          </rPr>
          <t xml:space="preserve">
Assumed to have been not expired</t>
        </r>
      </text>
    </comment>
  </commentList>
</comments>
</file>

<file path=xl/comments3.xml><?xml version="1.0" encoding="utf-8"?>
<comments xmlns="http://schemas.openxmlformats.org/spreadsheetml/2006/main">
  <authors>
    <author>Author</author>
  </authors>
  <commentList>
    <comment ref="C4" authorId="0">
      <text>
        <r>
          <rPr>
            <b/>
            <sz val="8"/>
            <color indexed="81"/>
            <rFont val="Tahoma"/>
            <family val="2"/>
          </rPr>
          <t>Author:</t>
        </r>
        <r>
          <rPr>
            <sz val="8"/>
            <color indexed="81"/>
            <rFont val="Tahoma"/>
            <family val="2"/>
          </rPr>
          <t xml:space="preserve">
type the date of birth if it is a odd roll number</t>
        </r>
      </text>
    </comment>
    <comment ref="D4" authorId="0">
      <text>
        <r>
          <rPr>
            <b/>
            <sz val="8"/>
            <color indexed="81"/>
            <rFont val="Tahoma"/>
            <family val="2"/>
          </rPr>
          <t>Author:</t>
        </r>
        <r>
          <rPr>
            <sz val="8"/>
            <color indexed="81"/>
            <rFont val="Tahoma"/>
            <family val="2"/>
          </rPr>
          <t xml:space="preserve">
type the date of birth if the roll number is even</t>
        </r>
      </text>
    </comment>
    <comment ref="C17" authorId="0">
      <text>
        <r>
          <rPr>
            <b/>
            <sz val="8"/>
            <color indexed="81"/>
            <rFont val="Tahoma"/>
            <family val="2"/>
          </rPr>
          <t>Author:</t>
        </r>
        <r>
          <rPr>
            <sz val="8"/>
            <color indexed="81"/>
            <rFont val="Tahoma"/>
            <family val="2"/>
          </rPr>
          <t xml:space="preserve">
if the firm is making losses (i.e., C7 &lt; 0) then one can argue that "Can't Say" is the appropriate answer (given that the model might have better growth prospects (and such issues).</t>
        </r>
      </text>
    </comment>
    <comment ref="D17" authorId="0">
      <text>
        <r>
          <rPr>
            <b/>
            <sz val="8"/>
            <color indexed="81"/>
            <rFont val="Tahoma"/>
            <family val="2"/>
          </rPr>
          <t>Author:</t>
        </r>
        <r>
          <rPr>
            <sz val="8"/>
            <color indexed="81"/>
            <rFont val="Tahoma"/>
            <family val="2"/>
          </rPr>
          <t xml:space="preserve">
if the firm is making losses (i.e., D7 &lt; 0) then one can argue that "Can't Say" is the appropriate answer (given that the model might have better growth prospects (and such issues).</t>
        </r>
      </text>
    </comment>
  </commentList>
</comments>
</file>

<file path=xl/comments4.xml><?xml version="1.0" encoding="utf-8"?>
<comments xmlns="http://schemas.openxmlformats.org/spreadsheetml/2006/main">
  <authors>
    <author>Author</author>
  </authors>
  <commentList>
    <comment ref="C7" authorId="0">
      <text>
        <r>
          <rPr>
            <b/>
            <sz val="8"/>
            <color indexed="81"/>
            <rFont val="Tahoma"/>
            <family val="2"/>
          </rPr>
          <t>Author:</t>
        </r>
        <r>
          <rPr>
            <sz val="8"/>
            <color indexed="81"/>
            <rFont val="Tahoma"/>
            <family val="2"/>
          </rPr>
          <t xml:space="preserve">
Interest Paid (Assumed)</t>
        </r>
      </text>
    </comment>
    <comment ref="A11" authorId="0">
      <text>
        <r>
          <rPr>
            <b/>
            <sz val="8"/>
            <color indexed="81"/>
            <rFont val="Tahoma"/>
            <family val="2"/>
          </rPr>
          <t>Author:</t>
        </r>
        <r>
          <rPr>
            <sz val="8"/>
            <color indexed="81"/>
            <rFont val="Tahoma"/>
            <family val="2"/>
          </rPr>
          <t xml:space="preserve">
Assumed</t>
        </r>
      </text>
    </comment>
    <comment ref="N21" authorId="0">
      <text>
        <r>
          <rPr>
            <b/>
            <sz val="8"/>
            <color indexed="81"/>
            <rFont val="Tahoma"/>
            <family val="2"/>
          </rPr>
          <t>Author:</t>
        </r>
        <r>
          <rPr>
            <sz val="8"/>
            <color indexed="81"/>
            <rFont val="Tahoma"/>
            <family val="2"/>
          </rPr>
          <t xml:space="preserve">
Balancing Figure is taken as loss for the period (since expenses are more than revenue)</t>
        </r>
      </text>
    </comment>
  </commentList>
</comments>
</file>

<file path=xl/sharedStrings.xml><?xml version="1.0" encoding="utf-8"?>
<sst xmlns="http://schemas.openxmlformats.org/spreadsheetml/2006/main" count="425" uniqueCount="294">
  <si>
    <t>Y</t>
  </si>
  <si>
    <t>Z</t>
  </si>
  <si>
    <t>Roll No</t>
  </si>
  <si>
    <t>Date</t>
  </si>
  <si>
    <t>Transaction/Event</t>
  </si>
  <si>
    <t>Fixed Assets</t>
  </si>
  <si>
    <t>Prepiad Rent</t>
  </si>
  <si>
    <t>Inventory</t>
  </si>
  <si>
    <t>Cash</t>
  </si>
  <si>
    <t>Capital</t>
  </si>
  <si>
    <t>Profit</t>
  </si>
  <si>
    <t>Loan</t>
  </si>
  <si>
    <t>Payables</t>
  </si>
  <si>
    <t>Provision for tax</t>
  </si>
  <si>
    <t>Ram starts a trading entity (Ram Traders) with capital Rs "2Z+1" Thousand</t>
  </si>
  <si>
    <t>Position Statement</t>
  </si>
  <si>
    <t>Ram borrows Rs "Y" Thousand from Champa (interest will be @ "12"% p.a., payable at the end of the month)</t>
  </si>
  <si>
    <t>Ram takes on hire a "goomty" (i.e., shed) in Bistupur Sabji Bazar (i.e., vegetable market) on a daily rent of Rs "Z+1" per day (pays a adjustible deposit of Rs "Z+1" hundred</t>
  </si>
  <si>
    <t>Ram purchases "Y+1" Bags of Red Chillies from Pappu at the rate of Rs "Z+1" per Kilogram (remember 1 red chilly bag = 20 Kgs)</t>
  </si>
  <si>
    <t>Ram purchases "Z+1" Bags of Green Chillies on Credit from Laddu at the rate of Rs "Y+1" per Kilogram (remember 1 green chilly bag = 40 Kgs)</t>
  </si>
  <si>
    <t>Ram spends Rs 1000 on sales promotion (such as pamphlets, advertisement on local cable network)</t>
  </si>
  <si>
    <t xml:space="preserve">Childhood Classmate Akella Veera Venkata Vijayawada Sitaramanjaneyula Rajasekhara Yarlagadda Venkata Samba Siva Rao, Tennis Superstar Ms. Sania Mirza, IPL Dada Shri Lalit Modi, Badminton Champion Ms. Saina Nehwal, Prime Minister Shri Narendra Modi, Bollywood King Shri Shah Rukh Khan, Chennai-based Indian Super Star Shri Rajinikanth, Bollywood Beauty Ms Anushka Sharma, Delhi Tiger Shri Virat Kohli, Indian National Congress President Ms Sonia Gandhi, XL General Secretary Shri Abhijit Roy and Puratchi Thalaivi Amma Jayalaitha Jayaram jointly launch a massive campaign to promote the health benefits of eating Chilli along with International YOGA DAY (as part of Healthy India Campaign using funds from the Government Budget Allocation) </t>
  </si>
  <si>
    <t>Every day Ram sells some Green Chillies and Red Chillies. Due to the high Demand Ram starts Rationing of Chilly and selling only 1 Kg customer</t>
  </si>
  <si>
    <t>Ram Traders CEO Ram while watching “F” TV channel, comes to know of    a new combo flavor (some kind of mixture prepared by using both red &amp;     green chilly) being more popular seasoning these days. Hence the trading     entity lends 1 kilo each of red &amp; green chilly to his mother-in-law for doing    research to identify the exact mix in this new combo flavor.</t>
  </si>
  <si>
    <t>Ram completes reading a book titled "Thought Leaders for the Future     Generation" by Harvard Guru Pankaj Ghemawat. He decides to re-write the    book in Maithili, Hindi and the local tribal language i.e., Santhali</t>
  </si>
  <si>
    <t>A customer hits Ram with a Stone (on some petty argument). Ram is     injured. Ram Trader’s employee Raju puts 1-gram Chilli on the customer’s    eyes. Finally, both settle the matter and become good friends by hiring each    other.</t>
  </si>
  <si>
    <t>Ram sells 80% of the purchased Red Chilly at a average price of Rs 150 per Kg. He sells 90% of the purchased Green Chilly at a average price of Rs 100 per Kg</t>
  </si>
  <si>
    <t>Ram’s wife turns sweet sixteen. He celebrates his wife's Birthday. He gifts    her 1 Kg of Green Chilli and 1 Kgs of Red Chilli. His wife goes ecstatic.</t>
  </si>
  <si>
    <t>Due to high volatility in Chilly prices, Ram gets heart attack. Based on Medical advice, Ram decides to close the shop for the next one week.</t>
  </si>
  <si>
    <t>Ram Traders pays up the interest to Ms Champa (if any). In return, Ms Champa gives Ram a Get Well Soon Greeting Card.</t>
  </si>
  <si>
    <t>Ram knows that his employee Raju has to collect this months salary of Rs 1000. Finds him absent. Decides to pay him on the next working day.</t>
  </si>
  <si>
    <t>Ram Traders purchases shop furniture worth Rs “Y + 1” hundred on credit from M/s Arunachal Green Plywood. Delivery of furniture is done on the same day. Ram promises to make payment in 21 days.</t>
  </si>
  <si>
    <t>Adjustment from the Prepaid Rent</t>
  </si>
  <si>
    <t>Provision for 40% income tax</t>
  </si>
  <si>
    <t>Ram Traders Balance Sheet as on 30 June</t>
  </si>
  <si>
    <t>Assets</t>
  </si>
  <si>
    <t>Amount in Rs.</t>
  </si>
  <si>
    <t>Liabilities</t>
  </si>
  <si>
    <t>Loans</t>
  </si>
  <si>
    <t>Prepaid Rent</t>
  </si>
  <si>
    <t>Provisions</t>
  </si>
  <si>
    <t>Total Current Assets</t>
  </si>
  <si>
    <t>Total Liabilities and provisions</t>
  </si>
  <si>
    <t>Total Fixed Assets</t>
  </si>
  <si>
    <t>Total Owners Equity</t>
  </si>
  <si>
    <t>Total Assets</t>
  </si>
  <si>
    <t>Total Liabilities and Owners Equity</t>
  </si>
  <si>
    <t>DATE OF BIRTH</t>
  </si>
  <si>
    <t>Current Assets</t>
  </si>
  <si>
    <t>Promisory Notes</t>
  </si>
  <si>
    <t>Loans &amp; Advances</t>
  </si>
  <si>
    <t>Total Current asset</t>
  </si>
  <si>
    <t>Total Fixed Asset</t>
  </si>
  <si>
    <t>Other Assets</t>
  </si>
  <si>
    <t>Cash Kept For Buying Brands</t>
  </si>
  <si>
    <t>Restructuring Expenses</t>
  </si>
  <si>
    <t>Long Term Investements</t>
  </si>
  <si>
    <t>Total Other Assets</t>
  </si>
  <si>
    <t>Libilities</t>
  </si>
  <si>
    <t>Current Liabilities &amp; Provisions</t>
  </si>
  <si>
    <t>Total Current Liabilities &amp; Provisions</t>
  </si>
  <si>
    <t>Long Term Liabilities</t>
  </si>
  <si>
    <t>Total Long Term Libilitirs</t>
  </si>
  <si>
    <t>Networth</t>
  </si>
  <si>
    <t>Start Up Share Capital</t>
  </si>
  <si>
    <t>Net Income for the Period (Balancing Figure)</t>
  </si>
  <si>
    <t>Cuurrent Owner's Equity</t>
  </si>
  <si>
    <t>Total Networth</t>
  </si>
  <si>
    <t>Total Liabilities</t>
  </si>
  <si>
    <t>Prime Rubber Industries</t>
  </si>
  <si>
    <t>Balance Sheet as at December 31, 2X10 (all figures in 000's)</t>
  </si>
  <si>
    <t>Projected Income Statement for the period ending December 31, 2X10 (all figures in 000's)</t>
  </si>
  <si>
    <t xml:space="preserve">Amount </t>
  </si>
  <si>
    <t>Amount</t>
  </si>
  <si>
    <t>Liabilities and Owners Equity</t>
  </si>
  <si>
    <t>Income Statement for the first quarter</t>
  </si>
  <si>
    <t>Remarks</t>
  </si>
  <si>
    <t xml:space="preserve">Cash </t>
  </si>
  <si>
    <t>Accounts Payable</t>
  </si>
  <si>
    <t>Sales</t>
  </si>
  <si>
    <t>Estimated from Gross Profit (backwards)</t>
  </si>
  <si>
    <t>Accounts Receivable</t>
  </si>
  <si>
    <t>Bank Overdraft</t>
  </si>
  <si>
    <t>Less: RM Consumed</t>
  </si>
  <si>
    <t>Given as 30% of Sales</t>
  </si>
  <si>
    <t>RM Inventory</t>
  </si>
  <si>
    <t>Current Liabilities</t>
  </si>
  <si>
    <t>Less: Wage Expenses</t>
  </si>
  <si>
    <t>Given as 10% of Sales</t>
  </si>
  <si>
    <t>FG Inventory</t>
  </si>
  <si>
    <t>Less: Other Direct Mfrg Exp</t>
  </si>
  <si>
    <t>Prepaid rent and insurance</t>
  </si>
  <si>
    <t>Gross Profit</t>
  </si>
  <si>
    <t>Estimated from PBT (backwards)</t>
  </si>
  <si>
    <t>Less: Selling, Administration Expenses</t>
  </si>
  <si>
    <t>Provided in the problem</t>
  </si>
  <si>
    <t>Less: Depreciation Expense</t>
  </si>
  <si>
    <t>Details Provided</t>
  </si>
  <si>
    <t>Land</t>
  </si>
  <si>
    <t>Owner(s) Equity</t>
  </si>
  <si>
    <t>Operating Profit</t>
  </si>
  <si>
    <t>Plant and Equipment</t>
  </si>
  <si>
    <t>Share Capital</t>
  </si>
  <si>
    <t>Less: Interest Expense</t>
  </si>
  <si>
    <t>On Mortgage Loan</t>
  </si>
  <si>
    <t>Less: Accumulated Depreciation</t>
  </si>
  <si>
    <t>Share Premium</t>
  </si>
  <si>
    <t>Profit Before Tax</t>
  </si>
  <si>
    <t>Estimated from PAT</t>
  </si>
  <si>
    <t>Goodwill</t>
  </si>
  <si>
    <t>Retained Earnings</t>
  </si>
  <si>
    <t>Less: Tax</t>
  </si>
  <si>
    <t>Given as 30% of PBT</t>
  </si>
  <si>
    <t>Profit After Tax</t>
  </si>
  <si>
    <t>Given in the problem</t>
  </si>
  <si>
    <t>Total Liabilities &amp; Owners Equity</t>
  </si>
  <si>
    <t>Less: Withdrawal</t>
  </si>
  <si>
    <t>Assumed</t>
  </si>
  <si>
    <t>Retained Earnings Addition</t>
  </si>
  <si>
    <t>Cash Transactions</t>
  </si>
  <si>
    <t xml:space="preserve">Previous Balance </t>
  </si>
  <si>
    <t>Subtract</t>
  </si>
  <si>
    <t>Projected Balance Sheet as at December 31, 2X10 (all figures in 000's)</t>
  </si>
  <si>
    <t>Add</t>
  </si>
  <si>
    <t>Equipment installment</t>
  </si>
  <si>
    <t>Owners Equity</t>
  </si>
  <si>
    <t>Selling &amp; Administration Expense</t>
  </si>
  <si>
    <t>Cash Sales</t>
  </si>
  <si>
    <t>Suppliers Payments</t>
  </si>
  <si>
    <t>Cash &amp; Bank Balance</t>
  </si>
  <si>
    <t>Wage Exp</t>
  </si>
  <si>
    <t>Other Direct Exp</t>
  </si>
  <si>
    <t>Tax Exp</t>
  </si>
  <si>
    <t>Mortgage Loan (+ Accrued Interest)</t>
  </si>
  <si>
    <t>Cash Balance</t>
  </si>
  <si>
    <t>Equipment Credit</t>
  </si>
  <si>
    <t>Building</t>
  </si>
  <si>
    <t>Note :-</t>
  </si>
  <si>
    <t>1. Assumed that mortgage loan was taken on the first day of the year</t>
  </si>
  <si>
    <t>2. Purchase during the year = Consumed during the year - Opening stock+ closing stock</t>
  </si>
  <si>
    <t xml:space="preserve">Purchase = </t>
  </si>
  <si>
    <t>3. Assumed that prepaid rent and insurance will be paid and used again during the said year and expense is covered under Administrative expense</t>
  </si>
  <si>
    <t>T.V.Today Network Ltd.</t>
  </si>
  <si>
    <t>Statement of cash flow</t>
  </si>
  <si>
    <t>for the year ended March 31, 2015</t>
  </si>
  <si>
    <t>Particulars</t>
  </si>
  <si>
    <t>Amount
(Rs. In million)</t>
  </si>
  <si>
    <t>A. Cash flow from operating activities</t>
  </si>
  <si>
    <t>Profit before tax</t>
  </si>
  <si>
    <t>Adjustments for :</t>
  </si>
  <si>
    <t>Amortization</t>
  </si>
  <si>
    <t>Depreciation</t>
  </si>
  <si>
    <t>Fixed assets written off</t>
  </si>
  <si>
    <t>Interest and finance costs</t>
  </si>
  <si>
    <t>Provision for dountful debts and advances</t>
  </si>
  <si>
    <t>Provisions/Liabilities written back</t>
  </si>
  <si>
    <t>Less: Interest income</t>
  </si>
  <si>
    <t>Operating profit before working capital changes</t>
  </si>
  <si>
    <t>Changes in working capital :</t>
  </si>
  <si>
    <t>Less: Decrease in other long term liabilities</t>
  </si>
  <si>
    <t>Add: Increase in long term provisions</t>
  </si>
  <si>
    <t>Add: Decrease in short term loans and advances</t>
  </si>
  <si>
    <t>Less: Decrease in short term provisions</t>
  </si>
  <si>
    <t>Less: Increase in other bank balances</t>
  </si>
  <si>
    <t>Less: Increase in Long term loans and advances</t>
  </si>
  <si>
    <t>Less: Increase in other current assets</t>
  </si>
  <si>
    <t>Add: Increase in other current liabilities</t>
  </si>
  <si>
    <t>Add: Increase in trade payables</t>
  </si>
  <si>
    <t>Less: Increase in trade receiables</t>
  </si>
  <si>
    <t>Net cash flow before tax</t>
  </si>
  <si>
    <t>Less: Taxes paid</t>
  </si>
  <si>
    <t>Net cash flow from/ (used in) operating activities</t>
  </si>
  <si>
    <t>B. Cash flow from investing activities</t>
  </si>
  <si>
    <t>Purchase of tangible / Intangible assets</t>
  </si>
  <si>
    <t>Less: Interest received</t>
  </si>
  <si>
    <t>Sale of tangible assets</t>
  </si>
  <si>
    <t>Net cash provided by (used in) investing activities</t>
  </si>
  <si>
    <t>C. Cash flow from Financing activities</t>
  </si>
  <si>
    <t>Dividend distribution tax</t>
  </si>
  <si>
    <t>Proceeds from short term borrowings</t>
  </si>
  <si>
    <t>Dividend paid</t>
  </si>
  <si>
    <t>Proceeds from share allotment under employee stock option</t>
  </si>
  <si>
    <t>Repayment of long term borrowings</t>
  </si>
  <si>
    <t>Net cash provided by (used in) financing activities</t>
  </si>
  <si>
    <t>Net increase (Decrease) in cash and cash equivalents due to (A) + (B) + (C)</t>
  </si>
  <si>
    <t>Starting cash and cash equivalents balance</t>
  </si>
  <si>
    <t>Ending cash and cash balance</t>
  </si>
  <si>
    <t>Lamb and Tiger (L &amp; T)</t>
  </si>
  <si>
    <t>ODD Roll Number</t>
  </si>
  <si>
    <t xml:space="preserve"> EVEN Roll Number</t>
  </si>
  <si>
    <t>Queston No.</t>
  </si>
  <si>
    <t>Date of Birth</t>
  </si>
  <si>
    <t>Depreciation Expense</t>
  </si>
  <si>
    <t>Interest Expense</t>
  </si>
  <si>
    <t>Corporate Income Tax</t>
  </si>
  <si>
    <t>Funds from Operations</t>
  </si>
  <si>
    <t>Cash from Investing Activities</t>
  </si>
  <si>
    <t>Cash from Financing Activities</t>
  </si>
  <si>
    <t>Working Capital Change</t>
  </si>
  <si>
    <t>Financial Health</t>
  </si>
  <si>
    <t>Good</t>
  </si>
  <si>
    <t>Bad</t>
  </si>
  <si>
    <t>Based on the available information, we start by preparing relevant T accounts</t>
  </si>
  <si>
    <t>Workseet</t>
  </si>
  <si>
    <t>Trial Balance</t>
  </si>
  <si>
    <t>Adjustments</t>
  </si>
  <si>
    <t>Adjusted Trial Balance</t>
  </si>
  <si>
    <t>Income Statement</t>
  </si>
  <si>
    <t>Balance Sheet</t>
  </si>
  <si>
    <t>M/s National Marketing Limited</t>
  </si>
  <si>
    <t>M/s Khilona &amp; Khilona</t>
  </si>
  <si>
    <t>Debit</t>
  </si>
  <si>
    <t>Credit</t>
  </si>
  <si>
    <t>Standard Format Balance Sheet as at March 31, 20X5</t>
  </si>
  <si>
    <t>Merchandise Inventory</t>
  </si>
  <si>
    <t>Cash in Hand &amp; Bank Balance</t>
  </si>
  <si>
    <t>Provision for Taxation</t>
  </si>
  <si>
    <t>Warehouse</t>
  </si>
  <si>
    <t>Accumlated Depreciation, Warehouse</t>
  </si>
  <si>
    <t>Bills Receivable</t>
  </si>
  <si>
    <t>Other Current Liabilities</t>
  </si>
  <si>
    <t>Cash Balance Computed</t>
  </si>
  <si>
    <t>Suppliers Credit</t>
  </si>
  <si>
    <t>Sundry Creditors</t>
  </si>
  <si>
    <t>Cash Balance Given</t>
  </si>
  <si>
    <t>Other Payables</t>
  </si>
  <si>
    <t>Sundry Debtors</t>
  </si>
  <si>
    <t>Total Current Liabilties</t>
  </si>
  <si>
    <t>Hence, Other Cash Expenses</t>
  </si>
  <si>
    <t xml:space="preserve">Bank Loan </t>
  </si>
  <si>
    <t>Long-Term Liabilities</t>
  </si>
  <si>
    <t xml:space="preserve">Sales </t>
  </si>
  <si>
    <t>Cost of Goods Sold</t>
  </si>
  <si>
    <t>Loan from Director</t>
  </si>
  <si>
    <t>Other Expenses (Paid)</t>
  </si>
  <si>
    <t>Rent Expense</t>
  </si>
  <si>
    <t xml:space="preserve">Equity Share Capital </t>
  </si>
  <si>
    <t>Revenue Reserves</t>
  </si>
  <si>
    <t>Bank Loan</t>
  </si>
  <si>
    <t>Investment in Shares</t>
  </si>
  <si>
    <t>Other Capital</t>
  </si>
  <si>
    <t>Telephone Expenses</t>
  </si>
  <si>
    <t>Misc. Expenses Yet to be Written Off</t>
  </si>
  <si>
    <t>Electricity Expense</t>
  </si>
  <si>
    <t>Loss for the Period</t>
  </si>
  <si>
    <t xml:space="preserve">Note: </t>
  </si>
  <si>
    <t>Total</t>
  </si>
  <si>
    <t>1. Other capital is taken as the balancing figure (it could be preference capital or it could be even some other reserve such as share premium)</t>
  </si>
  <si>
    <t>Based on the above worksheet, we can answer the following questions</t>
  </si>
  <si>
    <t>( c )</t>
  </si>
  <si>
    <t>( a )</t>
  </si>
  <si>
    <t>( d )</t>
  </si>
  <si>
    <t>Compatibility Report for Quiz 2 Sol.xls</t>
  </si>
  <si>
    <t>Run on 7/19/2017 21:58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</si>
  <si>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</si>
  <si>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</si>
  <si>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</si>
  <si>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</si>
  <si>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LOAN</t>
  </si>
  <si>
    <t>Ram Traders pays up the interest to Fresh Loan taken</t>
  </si>
  <si>
    <t xml:space="preserve">Ram Traders pays off Rs Y*100 end of each month </t>
  </si>
  <si>
    <t>Answers Required</t>
  </si>
  <si>
    <t>1 (a) Income Tax Provision</t>
  </si>
  <si>
    <t>1 (b) Cash Balance</t>
  </si>
  <si>
    <t>1( c) Loan Interest</t>
  </si>
  <si>
    <t>1 (d) Remaining Loan Amount</t>
  </si>
  <si>
    <t>Answers</t>
  </si>
  <si>
    <t>2 (a) Total Assets</t>
  </si>
  <si>
    <t>2 (b) Net Worth of the Firm</t>
  </si>
  <si>
    <t>3 (i) Supplier's payment</t>
  </si>
  <si>
    <t>3 (ii) PAT (Tax Rate @35%)</t>
  </si>
  <si>
    <t>1 (a) Operating Profit Before Working Capital Changes</t>
  </si>
  <si>
    <t>1(b) Net Cash generated From Operating Activities</t>
  </si>
  <si>
    <t>1(c) Net Cash Generated from Investing Activities</t>
  </si>
  <si>
    <t>1 (d) Net Cash generated from Financing Activities</t>
  </si>
  <si>
    <t>Ram Traders Charges Depriciation @ 2% each Month</t>
  </si>
  <si>
    <t>2 (c ) Long Term Investments</t>
  </si>
  <si>
    <t>1( e)Net profit</t>
  </si>
  <si>
    <t>Ram Traders took Fresh Loan of Rs "Y* 2000"  (Interest will be @ 1% Per month, payable at the end of each month</t>
  </si>
  <si>
    <t>NO</t>
  </si>
  <si>
    <t>2(b)</t>
  </si>
  <si>
    <t>2(a)</t>
  </si>
  <si>
    <t>2©</t>
  </si>
  <si>
    <t>2(d)</t>
  </si>
  <si>
    <t>For C - exact amount will result in full marks</t>
  </si>
  <si>
    <t xml:space="preserve">Anwer to the question </t>
  </si>
  <si>
    <t>a) negative b) positive, above Rs 3 million c) positive, below RS 3 million d) none of these</t>
  </si>
  <si>
    <t>a)Negative &amp; odd b)Positive &amp; odd c)positive &amp; even d)none</t>
  </si>
  <si>
    <t>a) Yes b) No c) Cant say</t>
  </si>
  <si>
    <t>1 (i) (c ) Positive,more than 50 %</t>
  </si>
  <si>
    <t>1(ii) (d) None of the above</t>
  </si>
  <si>
    <t xml:space="preserve"> For - a,b,d,e Anwer Aprox nearest 2-5 % or Rs 2000/- is given full marks</t>
  </si>
  <si>
    <t>DOB</t>
  </si>
  <si>
    <t>1 million = 10,00,000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</si>
</sst>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_);[Red]\(0\)"/>
    <numFmt numFmtId="166" formatCode="0_);\(0\)"/>
    <numFmt numFmtId="167" formatCode="[$INR]\ #,##0_);[Red]\([$INR]\ #,##0\)"/>
    <numFmt numFmtId="168" formatCode="[$INR]\ #,##0"/>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1"/>
      <color rgb="FF0070C0"/>
      <name val="Calibri"/>
      <family val="2"/>
      <scheme val="minor"/>
    </font>
    <font>
      <sz val="10"/>
      <color rgb="FF0070C0"/>
      <name val="Arial"/>
      <family val="2"/>
    </font>
    <font>
      <b/>
      <sz val="16"/>
      <name val="Arial"/>
      <family val="2"/>
    </font>
    <font>
      <b/>
      <sz val="11"/>
      <name val="Arial"/>
      <family val="2"/>
    </font>
    <font>
      <sz val="10"/>
      <name val="Arial"/>
      <family val="2"/>
    </font>
    <font>
      <b/>
      <sz val="12"/>
      <name val="Arial"/>
      <family val="2"/>
    </font>
    <font>
      <sz val="11"/>
      <name val="Calibri"/>
      <family val="2"/>
      <scheme val="minor"/>
    </font>
    <font>
      <b/>
      <sz val="11"/>
      <name val="Calibri"/>
      <family val="2"/>
      <scheme val="minor"/>
    </font>
    <font>
      <b/>
      <i/>
      <sz val="10"/>
      <name val="Arial"/>
      <family val="2"/>
    </font>
    <font>
      <b/>
      <sz val="8"/>
      <color indexed="81"/>
      <name val="Tahoma"/>
      <family val="2"/>
    </font>
    <font>
      <sz val="8"/>
      <color indexed="81"/>
      <name val="Tahoma"/>
      <family val="2"/>
    </font>
    <font>
      <b/>
      <u/>
      <sz val="11"/>
      <name val="Calibri"/>
      <family val="2"/>
      <scheme val="minor"/>
    </font>
    <font>
      <sz val="11"/>
      <color rgb="FF7030A0"/>
      <name val="Calibri"/>
      <family val="2"/>
      <scheme val="minor"/>
    </font>
    <font>
      <b/>
      <sz val="11"/>
      <color rgb="FF7030A0"/>
      <name val="Calibri"/>
      <family val="2"/>
      <scheme val="minor"/>
    </font>
    <font>
      <b/>
      <sz val="22"/>
      <color theme="1"/>
      <name val="Calibri"/>
      <family val="2"/>
      <scheme val="minor"/>
    </font>
    <font>
      <b/>
      <sz val="14"/>
      <name val="Arial"/>
      <family val="2"/>
    </font>
    <font>
      <sz val="14"/>
      <name val="Arial"/>
      <family val="2"/>
    </font>
    <font>
      <b/>
      <sz val="9"/>
      <name val="Arial"/>
      <family val="2"/>
    </font>
    <font>
      <sz val="9"/>
      <name val="Arial"/>
      <family val="2"/>
    </font>
    <font>
      <i/>
      <sz val="10"/>
      <name val="Arial"/>
      <family val="2"/>
    </font>
    <font>
      <sz val="10"/>
      <name val="Arial Narrow"/>
      <family val="2"/>
    </font>
    <font>
      <sz val="11"/>
      <color rgb="FFFF0000"/>
      <name val="Calibri"/>
      <family val="2"/>
      <scheme val="minor"/>
    </font>
    <font>
      <b/>
      <sz val="10"/>
      <color rgb="FFFF0000"/>
      <name val="Arial"/>
      <family val="2"/>
    </font>
    <font>
      <b/>
      <u/>
      <sz val="11"/>
      <color rgb="FFFF0000"/>
      <name val="Calibri"/>
      <family val="2"/>
      <scheme val="minor"/>
    </font>
    <font>
      <b/>
      <sz val="11"/>
      <color rgb="FFFF0000"/>
      <name val="Calibri"/>
      <family val="2"/>
      <scheme val="minor"/>
    </font>
    <font>
      <b/>
      <sz val="9"/>
      <color indexed="81"/>
      <name val="Tahoma"/>
      <family val="2"/>
    </font>
  </fonts>
  <fills count="8">
    <fill>
      <patternFill patternType="none"/>
    </fill>
    <fill>
      <patternFill patternType="gray125"/>
    </fill>
    <fill>
      <patternFill patternType="solid">
        <fgColor indexed="8"/>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20"/>
        <bgColor indexed="24"/>
      </patternFill>
    </fill>
    <fill>
      <patternFill patternType="solid">
        <fgColor indexed="22"/>
        <bgColor indexed="24"/>
      </patternFill>
    </fill>
    <fill>
      <patternFill patternType="solid">
        <fgColor rgb="FFFFFF00"/>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10"/>
      </bottom>
      <diagonal/>
    </border>
    <border>
      <left/>
      <right style="double">
        <color indexed="10"/>
      </right>
      <top style="double">
        <color indexed="10"/>
      </top>
      <bottom/>
      <diagonal/>
    </border>
    <border>
      <left/>
      <right style="double">
        <color indexed="10"/>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272">
    <xf numFmtId="0" fontId="0" fillId="0" borderId="0" xfId="0"/>
    <xf numFmtId="0" fontId="0" fillId="0" borderId="1" xfId="0" applyBorder="1"/>
    <xf numFmtId="0" fontId="3" fillId="0" borderId="2" xfId="0" applyFont="1" applyBorder="1" applyAlignment="1">
      <alignment horizontal="center"/>
    </xf>
    <xf numFmtId="0" fontId="3" fillId="0" borderId="3" xfId="0" applyFont="1" applyBorder="1" applyAlignment="1">
      <alignment horizontal="center"/>
    </xf>
    <xf numFmtId="0" fontId="0" fillId="2" borderId="0" xfId="0" applyFill="1"/>
    <xf numFmtId="0" fontId="3" fillId="0" borderId="4" xfId="0" applyFont="1" applyBorder="1"/>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xf numFmtId="0" fontId="3" fillId="2" borderId="0" xfId="0" applyFont="1" applyFill="1"/>
    <xf numFmtId="16" fontId="0" fillId="0" borderId="0" xfId="0" applyNumberFormat="1"/>
    <xf numFmtId="0" fontId="4" fillId="0" borderId="0" xfId="0" applyFont="1"/>
    <xf numFmtId="0" fontId="5" fillId="0" borderId="0" xfId="0" applyFont="1"/>
    <xf numFmtId="16" fontId="4" fillId="0" borderId="0" xfId="0" applyNumberFormat="1" applyFont="1"/>
    <xf numFmtId="0" fontId="4" fillId="2" borderId="0" xfId="0" applyFont="1" applyFill="1"/>
    <xf numFmtId="0" fontId="6" fillId="0" borderId="0" xfId="0" applyFont="1"/>
    <xf numFmtId="0" fontId="7" fillId="0" borderId="7" xfId="0" applyFont="1" applyFill="1" applyBorder="1" applyAlignment="1">
      <alignment horizontal="left"/>
    </xf>
    <xf numFmtId="0" fontId="3" fillId="0" borderId="7" xfId="0" applyFont="1" applyFill="1" applyBorder="1" applyAlignment="1">
      <alignment horizontal="center"/>
    </xf>
    <xf numFmtId="0" fontId="0" fillId="0" borderId="8" xfId="0" applyFill="1" applyBorder="1" applyAlignment="1">
      <alignment horizontal="left"/>
    </xf>
    <xf numFmtId="38" fontId="0" fillId="0" borderId="8" xfId="0" applyNumberFormat="1" applyFill="1" applyBorder="1" applyAlignment="1"/>
    <xf numFmtId="0" fontId="0" fillId="0" borderId="8" xfId="0" applyFill="1" applyBorder="1" applyAlignment="1"/>
    <xf numFmtId="0" fontId="0" fillId="0" borderId="9" xfId="0" applyFill="1" applyBorder="1" applyAlignment="1">
      <alignment horizontal="left"/>
    </xf>
    <xf numFmtId="38" fontId="0" fillId="0" borderId="9" xfId="0" applyNumberFormat="1" applyFill="1" applyBorder="1" applyAlignment="1"/>
    <xf numFmtId="0" fontId="0" fillId="0" borderId="9" xfId="0" applyFill="1" applyBorder="1" applyAlignment="1"/>
    <xf numFmtId="0" fontId="8" fillId="0" borderId="9" xfId="0" applyFont="1" applyFill="1" applyBorder="1" applyAlignment="1">
      <alignment horizontal="left"/>
    </xf>
    <xf numFmtId="0" fontId="3" fillId="0" borderId="9" xfId="0" applyFont="1" applyFill="1" applyBorder="1" applyAlignment="1">
      <alignment horizontal="left"/>
    </xf>
    <xf numFmtId="38" fontId="3" fillId="0" borderId="7" xfId="0" applyNumberFormat="1" applyFont="1" applyFill="1" applyBorder="1" applyAlignment="1"/>
    <xf numFmtId="0" fontId="3" fillId="0" borderId="9" xfId="0" applyFont="1" applyFill="1" applyBorder="1" applyAlignment="1"/>
    <xf numFmtId="38" fontId="3" fillId="0" borderId="9" xfId="0" applyNumberFormat="1" applyFont="1" applyFill="1" applyBorder="1" applyAlignment="1"/>
    <xf numFmtId="0" fontId="8" fillId="0" borderId="9" xfId="0" applyFont="1" applyFill="1" applyBorder="1" applyAlignment="1"/>
    <xf numFmtId="38" fontId="8" fillId="0" borderId="9" xfId="0" applyNumberFormat="1" applyFont="1" applyFill="1" applyBorder="1" applyAlignment="1"/>
    <xf numFmtId="0" fontId="9" fillId="0" borderId="10" xfId="0" applyFont="1" applyFill="1" applyBorder="1" applyAlignment="1">
      <alignment horizontal="left"/>
    </xf>
    <xf numFmtId="38" fontId="9" fillId="0" borderId="11" xfId="0" applyNumberFormat="1" applyFont="1" applyFill="1" applyBorder="1" applyAlignment="1"/>
    <xf numFmtId="0" fontId="9" fillId="0" borderId="10" xfId="0" applyFont="1" applyFill="1" applyBorder="1" applyAlignment="1"/>
    <xf numFmtId="0" fontId="9" fillId="0" borderId="0" xfId="0" applyFont="1"/>
    <xf numFmtId="0" fontId="9" fillId="2" borderId="0" xfId="0" applyFont="1" applyFill="1"/>
    <xf numFmtId="38" fontId="0" fillId="0" borderId="0" xfId="0" applyNumberFormat="1"/>
    <xf numFmtId="0" fontId="2" fillId="0" borderId="0" xfId="0" applyFont="1"/>
    <xf numFmtId="40" fontId="0" fillId="0" borderId="0" xfId="1" applyNumberFormat="1" applyFont="1"/>
    <xf numFmtId="40" fontId="2" fillId="0" borderId="0" xfId="1" applyNumberFormat="1" applyFont="1"/>
    <xf numFmtId="0" fontId="2" fillId="3" borderId="0" xfId="0" applyFont="1" applyFill="1"/>
    <xf numFmtId="3" fontId="0" fillId="0" borderId="0" xfId="1" applyNumberFormat="1" applyFont="1"/>
    <xf numFmtId="3" fontId="0" fillId="0" borderId="0" xfId="0" applyNumberFormat="1"/>
    <xf numFmtId="3" fontId="2" fillId="0" borderId="0" xfId="1" applyNumberFormat="1" applyFont="1"/>
    <xf numFmtId="165" fontId="0" fillId="0" borderId="0" xfId="0" applyNumberFormat="1"/>
    <xf numFmtId="3" fontId="0" fillId="3" borderId="0" xfId="1" applyNumberFormat="1" applyFont="1" applyFill="1"/>
    <xf numFmtId="3" fontId="2" fillId="0" borderId="0" xfId="0" applyNumberFormat="1" applyFont="1"/>
    <xf numFmtId="0" fontId="0" fillId="0" borderId="13" xfId="0" applyBorder="1"/>
    <xf numFmtId="0" fontId="0" fillId="0" borderId="7" xfId="0" applyBorder="1"/>
    <xf numFmtId="3" fontId="0" fillId="0" borderId="7" xfId="1" applyNumberFormat="1" applyFont="1" applyBorder="1"/>
    <xf numFmtId="0" fontId="2" fillId="0" borderId="7" xfId="0" applyFont="1" applyBorder="1"/>
    <xf numFmtId="3" fontId="2" fillId="0" borderId="7" xfId="1" applyNumberFormat="1" applyFont="1" applyBorder="1"/>
    <xf numFmtId="3" fontId="0" fillId="0" borderId="2" xfId="1" applyNumberFormat="1" applyFont="1" applyBorder="1"/>
    <xf numFmtId="0" fontId="0" fillId="0" borderId="2" xfId="0" applyBorder="1"/>
    <xf numFmtId="165" fontId="0" fillId="0" borderId="3" xfId="0" applyNumberFormat="1" applyBorder="1"/>
    <xf numFmtId="0" fontId="0" fillId="0" borderId="20" xfId="0" applyBorder="1"/>
    <xf numFmtId="165" fontId="0" fillId="0" borderId="21" xfId="1" applyNumberFormat="1" applyFont="1" applyBorder="1"/>
    <xf numFmtId="165" fontId="2" fillId="0" borderId="21" xfId="1" applyNumberFormat="1" applyFont="1" applyBorder="1"/>
    <xf numFmtId="0" fontId="2" fillId="0" borderId="20" xfId="0" applyFont="1" applyBorder="1"/>
    <xf numFmtId="165" fontId="0" fillId="0" borderId="21" xfId="0" applyNumberFormat="1" applyBorder="1"/>
    <xf numFmtId="0" fontId="2" fillId="0" borderId="4" xfId="0" applyFont="1" applyBorder="1"/>
    <xf numFmtId="3" fontId="2" fillId="0" borderId="5" xfId="1" applyNumberFormat="1" applyFont="1" applyBorder="1"/>
    <xf numFmtId="0" fontId="0" fillId="0" borderId="5" xfId="0" applyBorder="1"/>
    <xf numFmtId="165" fontId="2" fillId="0" borderId="6" xfId="1" applyNumberFormat="1" applyFont="1" applyBorder="1"/>
    <xf numFmtId="0" fontId="10" fillId="0" borderId="0" xfId="0" applyFont="1"/>
    <xf numFmtId="0" fontId="3" fillId="0" borderId="0" xfId="0" applyFont="1" applyAlignment="1"/>
    <xf numFmtId="0" fontId="10" fillId="0" borderId="0" xfId="0" applyFont="1" applyAlignment="1"/>
    <xf numFmtId="0" fontId="11" fillId="0" borderId="12" xfId="0" applyFont="1" applyBorder="1"/>
    <xf numFmtId="0" fontId="11" fillId="0" borderId="13" xfId="0" applyFont="1" applyBorder="1"/>
    <xf numFmtId="0" fontId="11" fillId="0" borderId="14" xfId="0" applyFont="1" applyBorder="1"/>
    <xf numFmtId="0" fontId="3" fillId="0" borderId="19" xfId="0" applyFont="1" applyBorder="1" applyAlignment="1"/>
    <xf numFmtId="0" fontId="10" fillId="0" borderId="19" xfId="0" applyFont="1" applyBorder="1" applyAlignment="1"/>
    <xf numFmtId="0" fontId="12" fillId="0" borderId="15" xfId="0" applyFont="1" applyBorder="1"/>
    <xf numFmtId="0" fontId="12" fillId="0" borderId="0" xfId="0" applyFont="1" applyBorder="1"/>
    <xf numFmtId="0" fontId="11" fillId="0" borderId="16" xfId="0" applyFont="1" applyBorder="1"/>
    <xf numFmtId="0" fontId="3" fillId="0" borderId="12" xfId="0" applyFont="1" applyBorder="1"/>
    <xf numFmtId="0" fontId="3" fillId="0" borderId="13" xfId="0" applyFont="1" applyBorder="1"/>
    <xf numFmtId="0" fontId="10" fillId="0" borderId="14" xfId="0" applyFont="1" applyBorder="1"/>
    <xf numFmtId="0" fontId="11" fillId="0" borderId="0" xfId="0" applyFont="1"/>
    <xf numFmtId="0" fontId="10" fillId="0" borderId="15" xfId="0" applyFont="1" applyBorder="1"/>
    <xf numFmtId="0" fontId="10" fillId="0" borderId="0" xfId="0" applyFont="1" applyBorder="1"/>
    <xf numFmtId="0" fontId="8" fillId="0" borderId="0" xfId="0" applyFont="1" applyBorder="1"/>
    <xf numFmtId="0" fontId="8" fillId="0" borderId="16" xfId="0" applyFont="1" applyBorder="1"/>
    <xf numFmtId="0" fontId="3" fillId="0" borderId="15" xfId="0" applyFont="1" applyBorder="1"/>
    <xf numFmtId="0" fontId="3" fillId="0" borderId="0" xfId="0" applyFont="1" applyBorder="1"/>
    <xf numFmtId="0" fontId="3" fillId="0" borderId="16" xfId="0" applyFont="1" applyBorder="1"/>
    <xf numFmtId="0" fontId="8" fillId="0" borderId="0" xfId="0" applyFont="1" applyFill="1" applyBorder="1"/>
    <xf numFmtId="0" fontId="10" fillId="0" borderId="16" xfId="0" applyFont="1" applyBorder="1"/>
    <xf numFmtId="0" fontId="3" fillId="0" borderId="0" xfId="0" applyFont="1" applyFill="1" applyBorder="1"/>
    <xf numFmtId="0" fontId="10" fillId="0" borderId="0" xfId="0" applyFont="1" applyFill="1" applyBorder="1"/>
    <xf numFmtId="0" fontId="8" fillId="0" borderId="16" xfId="0" applyFont="1" applyFill="1" applyBorder="1"/>
    <xf numFmtId="0" fontId="10" fillId="0" borderId="16" xfId="0" applyFont="1" applyFill="1" applyBorder="1"/>
    <xf numFmtId="0" fontId="3" fillId="0" borderId="17" xfId="0" applyFont="1" applyBorder="1"/>
    <xf numFmtId="0" fontId="3" fillId="0" borderId="19" xfId="0" applyFont="1" applyBorder="1"/>
    <xf numFmtId="0" fontId="3" fillId="0" borderId="22" xfId="0" applyFont="1" applyBorder="1"/>
    <xf numFmtId="0" fontId="10" fillId="0" borderId="17" xfId="0" applyFont="1" applyBorder="1"/>
    <xf numFmtId="0" fontId="10" fillId="0" borderId="19" xfId="0" applyFont="1" applyBorder="1"/>
    <xf numFmtId="0" fontId="10" fillId="0" borderId="22" xfId="0" applyFont="1" applyBorder="1"/>
    <xf numFmtId="0" fontId="10" fillId="0" borderId="12" xfId="0" applyFont="1" applyBorder="1"/>
    <xf numFmtId="0" fontId="10" fillId="0" borderId="13" xfId="0" applyFont="1" applyBorder="1"/>
    <xf numFmtId="1" fontId="8" fillId="0" borderId="0" xfId="0" applyNumberFormat="1" applyFont="1" applyBorder="1"/>
    <xf numFmtId="0" fontId="10" fillId="0" borderId="15" xfId="0" applyFont="1" applyFill="1" applyBorder="1"/>
    <xf numFmtId="1" fontId="3" fillId="0" borderId="0" xfId="0" applyNumberFormat="1" applyFont="1" applyFill="1" applyBorder="1"/>
    <xf numFmtId="1" fontId="10" fillId="0" borderId="0" xfId="0" applyNumberFormat="1" applyFont="1"/>
    <xf numFmtId="0" fontId="10" fillId="0" borderId="0" xfId="0" applyFont="1" applyFill="1"/>
    <xf numFmtId="0" fontId="10" fillId="4" borderId="28" xfId="0" applyFont="1" applyFill="1" applyBorder="1"/>
    <xf numFmtId="0" fontId="10" fillId="4" borderId="29" xfId="0" applyFont="1" applyFill="1" applyBorder="1"/>
    <xf numFmtId="0" fontId="10" fillId="4" borderId="30" xfId="0" applyFont="1" applyFill="1" applyBorder="1"/>
    <xf numFmtId="0" fontId="11" fillId="4" borderId="31" xfId="0" applyFont="1" applyFill="1" applyBorder="1"/>
    <xf numFmtId="0" fontId="11" fillId="4" borderId="32" xfId="0" applyFont="1" applyFill="1" applyBorder="1"/>
    <xf numFmtId="0" fontId="11" fillId="4" borderId="33" xfId="0" applyFont="1" applyFill="1" applyBorder="1"/>
    <xf numFmtId="0" fontId="11" fillId="4" borderId="7" xfId="0" applyFont="1" applyFill="1" applyBorder="1" applyAlignment="1">
      <alignment horizontal="center" wrapText="1"/>
    </xf>
    <xf numFmtId="0" fontId="10" fillId="4" borderId="23" xfId="0" applyFont="1" applyFill="1" applyBorder="1"/>
    <xf numFmtId="0" fontId="10" fillId="4" borderId="24" xfId="0" applyFont="1" applyFill="1" applyBorder="1"/>
    <xf numFmtId="0" fontId="10" fillId="4" borderId="25" xfId="0" applyFont="1" applyFill="1" applyBorder="1"/>
    <xf numFmtId="0" fontId="10" fillId="4" borderId="8" xfId="0" applyFont="1" applyFill="1" applyBorder="1"/>
    <xf numFmtId="0" fontId="10" fillId="4" borderId="26" xfId="0" applyFont="1" applyFill="1" applyBorder="1"/>
    <xf numFmtId="0" fontId="10" fillId="4" borderId="0" xfId="0" applyFont="1" applyFill="1" applyBorder="1"/>
    <xf numFmtId="0" fontId="10" fillId="4" borderId="27" xfId="0" applyFont="1" applyFill="1" applyBorder="1"/>
    <xf numFmtId="166" fontId="16" fillId="4" borderId="9" xfId="0" applyNumberFormat="1" applyFont="1" applyFill="1" applyBorder="1"/>
    <xf numFmtId="166" fontId="10" fillId="4" borderId="9" xfId="0" applyNumberFormat="1" applyFont="1" applyFill="1" applyBorder="1"/>
    <xf numFmtId="166" fontId="16" fillId="4" borderId="10" xfId="0" applyNumberFormat="1" applyFont="1" applyFill="1" applyBorder="1"/>
    <xf numFmtId="166" fontId="17" fillId="4" borderId="9" xfId="0" applyNumberFormat="1" applyFont="1" applyFill="1" applyBorder="1"/>
    <xf numFmtId="0" fontId="11" fillId="4" borderId="0" xfId="0" applyFont="1" applyFill="1" applyBorder="1"/>
    <xf numFmtId="166" fontId="11" fillId="4" borderId="9" xfId="0" applyNumberFormat="1" applyFont="1" applyFill="1" applyBorder="1"/>
    <xf numFmtId="166" fontId="10" fillId="0" borderId="0" xfId="0" applyNumberFormat="1" applyFont="1" applyFill="1"/>
    <xf numFmtId="166" fontId="10" fillId="4" borderId="10" xfId="0" applyNumberFormat="1" applyFont="1" applyFill="1" applyBorder="1"/>
    <xf numFmtId="166" fontId="11" fillId="4" borderId="10" xfId="0" applyNumberFormat="1" applyFont="1" applyFill="1" applyBorder="1"/>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14" xfId="0" applyFont="1" applyFill="1" applyBorder="1" applyAlignment="1"/>
    <xf numFmtId="0" fontId="19" fillId="0" borderId="17" xfId="0" applyFont="1" applyFill="1" applyBorder="1" applyAlignment="1">
      <alignment horizontal="left"/>
    </xf>
    <xf numFmtId="0" fontId="19" fillId="0" borderId="19" xfId="0" applyFont="1" applyFill="1" applyBorder="1" applyAlignment="1">
      <alignment horizontal="left"/>
    </xf>
    <xf numFmtId="0" fontId="20" fillId="0" borderId="0" xfId="0" applyFont="1"/>
    <xf numFmtId="0" fontId="3" fillId="0" borderId="15" xfId="0" applyFont="1" applyFill="1" applyBorder="1" applyAlignment="1">
      <alignment horizontal="left"/>
    </xf>
    <xf numFmtId="0" fontId="8" fillId="0" borderId="0" xfId="0" applyFont="1" applyFill="1" applyBorder="1" applyAlignment="1">
      <alignment horizontal="left"/>
    </xf>
    <xf numFmtId="167" fontId="8" fillId="0" borderId="0" xfId="0" applyNumberFormat="1" applyFont="1" applyFill="1" applyBorder="1" applyAlignment="1"/>
    <xf numFmtId="167" fontId="8" fillId="0" borderId="16" xfId="0" applyNumberFormat="1" applyFont="1" applyFill="1" applyBorder="1" applyAlignment="1"/>
    <xf numFmtId="0" fontId="8" fillId="0" borderId="15" xfId="0" applyFont="1" applyFill="1" applyBorder="1" applyAlignment="1">
      <alignment horizontal="left"/>
    </xf>
    <xf numFmtId="0" fontId="19" fillId="0" borderId="34" xfId="0" applyFont="1" applyFill="1" applyBorder="1" applyAlignment="1">
      <alignment horizontal="left"/>
    </xf>
    <xf numFmtId="0" fontId="19" fillId="0" borderId="32" xfId="0" applyFont="1" applyFill="1" applyBorder="1" applyAlignment="1">
      <alignment horizontal="left"/>
    </xf>
    <xf numFmtId="167" fontId="20" fillId="0" borderId="32" xfId="0" applyNumberFormat="1" applyFont="1" applyFill="1" applyBorder="1" applyAlignment="1"/>
    <xf numFmtId="167" fontId="20" fillId="0" borderId="35" xfId="0" applyNumberFormat="1" applyFont="1" applyFill="1" applyBorder="1" applyAlignment="1"/>
    <xf numFmtId="0" fontId="8" fillId="0" borderId="34" xfId="0" applyFont="1" applyFill="1" applyBorder="1" applyAlignment="1">
      <alignment horizontal="left"/>
    </xf>
    <xf numFmtId="0" fontId="8" fillId="0" borderId="32" xfId="0" applyFont="1" applyFill="1" applyBorder="1" applyAlignment="1">
      <alignment horizontal="left"/>
    </xf>
    <xf numFmtId="167" fontId="0" fillId="0" borderId="32" xfId="0" applyNumberFormat="1" applyFill="1" applyBorder="1" applyAlignment="1"/>
    <xf numFmtId="167" fontId="0" fillId="0" borderId="35" xfId="0" applyNumberFormat="1" applyFill="1" applyBorder="1" applyAlignment="1"/>
    <xf numFmtId="168" fontId="20" fillId="0" borderId="19" xfId="0" applyNumberFormat="1" applyFont="1" applyFill="1" applyBorder="1" applyAlignment="1">
      <alignment horizontal="center"/>
    </xf>
    <xf numFmtId="168" fontId="20" fillId="0" borderId="22" xfId="0" applyNumberFormat="1" applyFont="1" applyFill="1" applyBorder="1" applyAlignment="1">
      <alignment horizontal="center"/>
    </xf>
    <xf numFmtId="0" fontId="3" fillId="0" borderId="0" xfId="0" applyFont="1" applyFill="1" applyBorder="1" applyAlignment="1">
      <alignment horizontal="left"/>
    </xf>
    <xf numFmtId="0" fontId="19" fillId="0" borderId="0" xfId="0" applyFont="1" applyFill="1" applyBorder="1" applyAlignment="1">
      <alignment horizontal="left"/>
    </xf>
    <xf numFmtId="168" fontId="0" fillId="0" borderId="0" xfId="0" applyNumberFormat="1" applyFill="1" applyBorder="1" applyAlignment="1"/>
    <xf numFmtId="3" fontId="10" fillId="0" borderId="0" xfId="0" applyNumberFormat="1" applyFont="1"/>
    <xf numFmtId="3" fontId="7" fillId="5" borderId="13" xfId="0" applyNumberFormat="1" applyFont="1" applyFill="1" applyBorder="1" applyAlignment="1">
      <alignment horizontal="left"/>
    </xf>
    <xf numFmtId="3" fontId="21" fillId="5" borderId="13" xfId="0" applyNumberFormat="1" applyFont="1" applyFill="1" applyBorder="1" applyAlignment="1">
      <alignment horizontal="right"/>
    </xf>
    <xf numFmtId="3" fontId="22" fillId="5" borderId="13" xfId="0" applyNumberFormat="1" applyFont="1" applyFill="1" applyBorder="1" applyAlignment="1">
      <alignment horizontal="right"/>
    </xf>
    <xf numFmtId="3" fontId="21" fillId="5" borderId="13" xfId="0" applyNumberFormat="1" applyFont="1" applyFill="1" applyBorder="1" applyAlignment="1">
      <alignment horizontal="left"/>
    </xf>
    <xf numFmtId="3" fontId="3" fillId="0" borderId="0" xfId="0" applyNumberFormat="1" applyFont="1"/>
    <xf numFmtId="3" fontId="7" fillId="5" borderId="29" xfId="0" applyNumberFormat="1" applyFont="1" applyFill="1" applyBorder="1" applyAlignment="1">
      <alignment horizontal="left"/>
    </xf>
    <xf numFmtId="3" fontId="22" fillId="5" borderId="29" xfId="0" applyNumberFormat="1" applyFont="1" applyFill="1" applyBorder="1" applyAlignment="1">
      <alignment horizontal="right"/>
    </xf>
    <xf numFmtId="3" fontId="21" fillId="5" borderId="29" xfId="0" applyNumberFormat="1" applyFont="1" applyFill="1" applyBorder="1" applyAlignment="1">
      <alignment horizontal="right"/>
    </xf>
    <xf numFmtId="3" fontId="3" fillId="0" borderId="36" xfId="0" applyNumberFormat="1" applyFont="1" applyBorder="1"/>
    <xf numFmtId="3" fontId="10" fillId="0" borderId="36" xfId="0" applyNumberFormat="1" applyFont="1" applyBorder="1"/>
    <xf numFmtId="3" fontId="3" fillId="6" borderId="0" xfId="0" applyNumberFormat="1" applyFont="1" applyFill="1" applyBorder="1" applyAlignment="1">
      <alignment horizontal="left"/>
    </xf>
    <xf numFmtId="3" fontId="10" fillId="0" borderId="0" xfId="0" applyNumberFormat="1" applyFont="1" applyFill="1" applyBorder="1" applyAlignment="1"/>
    <xf numFmtId="3" fontId="3" fillId="0" borderId="0" xfId="0" applyNumberFormat="1" applyFont="1" applyFill="1" applyBorder="1" applyAlignment="1"/>
    <xf numFmtId="3" fontId="10" fillId="0" borderId="12" xfId="0" applyNumberFormat="1" applyFont="1" applyBorder="1"/>
    <xf numFmtId="3" fontId="10" fillId="0" borderId="13" xfId="0" applyNumberFormat="1" applyFont="1" applyBorder="1"/>
    <xf numFmtId="3" fontId="10" fillId="0" borderId="14" xfId="0" applyNumberFormat="1" applyFont="1" applyBorder="1"/>
    <xf numFmtId="3" fontId="10" fillId="0" borderId="37" xfId="0" applyNumberFormat="1" applyFont="1" applyBorder="1"/>
    <xf numFmtId="3" fontId="23" fillId="0" borderId="15" xfId="0" applyNumberFormat="1" applyFont="1" applyBorder="1"/>
    <xf numFmtId="3" fontId="10" fillId="0" borderId="0" xfId="0" applyNumberFormat="1" applyFont="1" applyBorder="1"/>
    <xf numFmtId="3" fontId="23" fillId="0" borderId="0" xfId="0" applyNumberFormat="1" applyFont="1" applyBorder="1"/>
    <xf numFmtId="3" fontId="10" fillId="0" borderId="16" xfId="0" applyNumberFormat="1" applyFont="1" applyBorder="1"/>
    <xf numFmtId="3" fontId="10" fillId="0" borderId="0" xfId="0" quotePrefix="1" applyNumberFormat="1" applyFont="1"/>
    <xf numFmtId="3" fontId="10" fillId="0" borderId="38" xfId="0" applyNumberFormat="1" applyFont="1" applyBorder="1"/>
    <xf numFmtId="3" fontId="10" fillId="0" borderId="15" xfId="0" applyNumberFormat="1" applyFont="1" applyBorder="1"/>
    <xf numFmtId="3" fontId="10" fillId="0" borderId="0" xfId="0" applyNumberFormat="1" applyFont="1" applyFill="1" applyBorder="1"/>
    <xf numFmtId="3" fontId="3" fillId="0" borderId="0" xfId="0" applyNumberFormat="1" applyFont="1" applyBorder="1"/>
    <xf numFmtId="3" fontId="3" fillId="0" borderId="16" xfId="0" applyNumberFormat="1" applyFont="1" applyBorder="1"/>
    <xf numFmtId="3" fontId="3" fillId="0" borderId="15" xfId="0" applyNumberFormat="1" applyFont="1" applyBorder="1"/>
    <xf numFmtId="3" fontId="23" fillId="0" borderId="0" xfId="0" applyNumberFormat="1" applyFont="1" applyFill="1" applyBorder="1"/>
    <xf numFmtId="3" fontId="10" fillId="0" borderId="15" xfId="0" applyNumberFormat="1" applyFont="1" applyFill="1" applyBorder="1"/>
    <xf numFmtId="3" fontId="3" fillId="6" borderId="18" xfId="0" applyNumberFormat="1" applyFont="1" applyFill="1" applyBorder="1" applyAlignment="1">
      <alignment horizontal="left"/>
    </xf>
    <xf numFmtId="3" fontId="10" fillId="0" borderId="18" xfId="0" applyNumberFormat="1" applyFont="1" applyFill="1" applyBorder="1" applyAlignment="1"/>
    <xf numFmtId="3" fontId="3" fillId="0" borderId="18" xfId="0" applyNumberFormat="1" applyFont="1" applyFill="1" applyBorder="1" applyAlignment="1"/>
    <xf numFmtId="3" fontId="24" fillId="0" borderId="0" xfId="0" applyNumberFormat="1" applyFont="1"/>
    <xf numFmtId="3" fontId="8" fillId="0" borderId="0" xfId="0" applyNumberFormat="1" applyFont="1"/>
    <xf numFmtId="0" fontId="2" fillId="0" borderId="0" xfId="0" applyNumberFormat="1"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39" xfId="0" applyNumberFormat="1" applyBorder="1" applyAlignment="1">
      <alignment vertical="top" wrapText="1"/>
    </xf>
    <xf numFmtId="0" fontId="0" fillId="0" borderId="40"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NumberFormat="1" applyFont="1" applyAlignment="1">
      <alignment horizontal="center" vertical="top" wrapText="1"/>
    </xf>
    <xf numFmtId="0" fontId="0" fillId="0" borderId="40" xfId="0" applyBorder="1" applyAlignment="1">
      <alignment horizontal="center" vertical="top" wrapText="1"/>
    </xf>
    <xf numFmtId="0" fontId="0" fillId="0" borderId="41" xfId="0" applyBorder="1" applyAlignment="1">
      <alignment horizontal="center" vertical="top" wrapText="1"/>
    </xf>
    <xf numFmtId="0" fontId="26" fillId="7" borderId="0" xfId="0" applyFont="1" applyFill="1"/>
    <xf numFmtId="16" fontId="25" fillId="0" borderId="0" xfId="0" applyNumberFormat="1" applyFont="1"/>
    <xf numFmtId="0" fontId="25" fillId="0" borderId="0" xfId="0" applyFont="1"/>
    <xf numFmtId="0" fontId="25" fillId="2" borderId="0" xfId="0" applyFont="1" applyFill="1"/>
    <xf numFmtId="0" fontId="27" fillId="7" borderId="12" xfId="0" applyFont="1" applyFill="1" applyBorder="1"/>
    <xf numFmtId="0" fontId="25" fillId="7" borderId="13" xfId="0" applyFont="1" applyFill="1" applyBorder="1"/>
    <xf numFmtId="164" fontId="25" fillId="7" borderId="14" xfId="1" applyFont="1" applyFill="1" applyBorder="1"/>
    <xf numFmtId="0" fontId="25" fillId="7" borderId="17" xfId="0" applyFont="1" applyFill="1" applyBorder="1"/>
    <xf numFmtId="0" fontId="25" fillId="7" borderId="19" xfId="0" applyFont="1" applyFill="1" applyBorder="1"/>
    <xf numFmtId="164" fontId="25" fillId="7" borderId="22" xfId="1" applyFont="1" applyFill="1" applyBorder="1"/>
    <xf numFmtId="0" fontId="25" fillId="7" borderId="42" xfId="0" applyFont="1" applyFill="1" applyBorder="1"/>
    <xf numFmtId="0" fontId="25" fillId="7" borderId="43" xfId="0" applyFont="1" applyFill="1" applyBorder="1"/>
    <xf numFmtId="0" fontId="25" fillId="7" borderId="44" xfId="0" applyFont="1" applyFill="1" applyBorder="1"/>
    <xf numFmtId="164" fontId="25" fillId="7" borderId="45" xfId="1" applyFont="1" applyFill="1" applyBorder="1"/>
    <xf numFmtId="0" fontId="15" fillId="0" borderId="12" xfId="0" applyFont="1" applyFill="1" applyBorder="1"/>
    <xf numFmtId="0" fontId="10" fillId="0" borderId="13" xfId="0" applyFont="1" applyFill="1" applyBorder="1"/>
    <xf numFmtId="0" fontId="10" fillId="0" borderId="14" xfId="0" applyFont="1" applyFill="1" applyBorder="1"/>
    <xf numFmtId="166" fontId="25" fillId="7" borderId="7" xfId="0" applyNumberFormat="1" applyFont="1" applyFill="1" applyBorder="1"/>
    <xf numFmtId="3" fontId="25" fillId="7" borderId="0" xfId="0" applyNumberFormat="1" applyFont="1" applyFill="1"/>
    <xf numFmtId="3" fontId="25" fillId="7" borderId="14" xfId="0" applyNumberFormat="1" applyFont="1" applyFill="1" applyBorder="1"/>
    <xf numFmtId="3" fontId="25" fillId="7" borderId="16" xfId="0" applyNumberFormat="1" applyFont="1" applyFill="1" applyBorder="1"/>
    <xf numFmtId="3" fontId="25" fillId="7" borderId="17" xfId="0" applyNumberFormat="1" applyFont="1" applyFill="1" applyBorder="1"/>
    <xf numFmtId="3" fontId="25" fillId="7" borderId="19" xfId="0" applyNumberFormat="1" applyFont="1" applyFill="1" applyBorder="1"/>
    <xf numFmtId="3" fontId="25" fillId="7" borderId="22" xfId="0" applyNumberFormat="1" applyFont="1" applyFill="1" applyBorder="1"/>
    <xf numFmtId="3" fontId="25" fillId="7" borderId="7" xfId="0" applyNumberFormat="1" applyFont="1" applyFill="1" applyBorder="1"/>
    <xf numFmtId="0" fontId="28" fillId="7" borderId="1" xfId="0" applyFont="1" applyFill="1" applyBorder="1"/>
    <xf numFmtId="0" fontId="25" fillId="7" borderId="3" xfId="0" applyFont="1" applyFill="1" applyBorder="1"/>
    <xf numFmtId="0" fontId="25" fillId="7" borderId="20" xfId="0" applyFont="1" applyFill="1" applyBorder="1"/>
    <xf numFmtId="38" fontId="25" fillId="7" borderId="21" xfId="0" applyNumberFormat="1" applyFont="1" applyFill="1" applyBorder="1"/>
    <xf numFmtId="0" fontId="25" fillId="7" borderId="21" xfId="0" applyFont="1" applyFill="1" applyBorder="1"/>
    <xf numFmtId="0" fontId="25" fillId="7" borderId="4" xfId="0" applyFont="1" applyFill="1" applyBorder="1"/>
    <xf numFmtId="38" fontId="25" fillId="7" borderId="6" xfId="0" applyNumberFormat="1" applyFont="1" applyFill="1" applyBorder="1"/>
    <xf numFmtId="0" fontId="27" fillId="7" borderId="1" xfId="0" applyFont="1" applyFill="1" applyBorder="1"/>
    <xf numFmtId="3" fontId="25" fillId="7" borderId="3" xfId="0" applyNumberFormat="1" applyFont="1" applyFill="1" applyBorder="1"/>
    <xf numFmtId="3" fontId="25" fillId="7" borderId="21" xfId="0" applyNumberFormat="1" applyFont="1" applyFill="1" applyBorder="1"/>
    <xf numFmtId="3" fontId="25" fillId="7" borderId="6" xfId="0" applyNumberFormat="1" applyFont="1" applyFill="1" applyBorder="1"/>
    <xf numFmtId="0" fontId="25" fillId="7" borderId="48" xfId="0" applyFont="1" applyFill="1" applyBorder="1"/>
    <xf numFmtId="38" fontId="25" fillId="7" borderId="45" xfId="0" applyNumberFormat="1" applyFont="1" applyFill="1" applyBorder="1"/>
    <xf numFmtId="167" fontId="0" fillId="0" borderId="0" xfId="0" applyNumberFormat="1"/>
    <xf numFmtId="0" fontId="0" fillId="0" borderId="43" xfId="0" applyBorder="1" applyAlignment="1"/>
    <xf numFmtId="3" fontId="25" fillId="7" borderId="49" xfId="0" applyNumberFormat="1" applyFont="1" applyFill="1" applyBorder="1"/>
    <xf numFmtId="3" fontId="28" fillId="7" borderId="50" xfId="0" applyNumberFormat="1" applyFont="1" applyFill="1" applyBorder="1"/>
    <xf numFmtId="3" fontId="25" fillId="7" borderId="50" xfId="0" applyNumberFormat="1" applyFont="1" applyFill="1" applyBorder="1"/>
    <xf numFmtId="3" fontId="25" fillId="7" borderId="51" xfId="0" applyNumberFormat="1" applyFont="1" applyFill="1" applyBorder="1"/>
    <xf numFmtId="167" fontId="8" fillId="0" borderId="16" xfId="0" applyNumberFormat="1" applyFont="1" applyFill="1" applyBorder="1" applyAlignment="1">
      <alignment horizontal="center"/>
    </xf>
    <xf numFmtId="0" fontId="0" fillId="0" borderId="0" xfId="0" applyBorder="1" applyAlignment="1"/>
    <xf numFmtId="3" fontId="19" fillId="0" borderId="19" xfId="0" applyNumberFormat="1" applyFont="1" applyFill="1" applyBorder="1" applyAlignment="1"/>
    <xf numFmtId="3" fontId="19" fillId="0" borderId="22" xfId="0" applyNumberFormat="1" applyFont="1" applyFill="1" applyBorder="1" applyAlignment="1"/>
    <xf numFmtId="0" fontId="3" fillId="0" borderId="0" xfId="0" applyFont="1" applyFill="1" applyBorder="1" applyAlignment="1">
      <alignment horizontal="center"/>
    </xf>
    <xf numFmtId="0" fontId="3" fillId="0" borderId="16" xfId="0" applyFont="1" applyFill="1" applyBorder="1" applyAlignment="1">
      <alignment horizontal="center"/>
    </xf>
    <xf numFmtId="0" fontId="3" fillId="0" borderId="0" xfId="0" applyFont="1" applyAlignment="1">
      <alignment horizontal="center"/>
    </xf>
    <xf numFmtId="0" fontId="3" fillId="0" borderId="19" xfId="0" applyFont="1" applyFill="1" applyBorder="1" applyAlignment="1">
      <alignment horizontal="center"/>
    </xf>
    <xf numFmtId="0" fontId="3" fillId="0" borderId="22" xfId="0" applyFont="1" applyFill="1" applyBorder="1" applyAlignment="1">
      <alignment horizontal="center"/>
    </xf>
    <xf numFmtId="164" fontId="25" fillId="7" borderId="43" xfId="1" applyFont="1" applyFill="1" applyBorder="1" applyAlignment="1">
      <alignment horizontal="center"/>
    </xf>
    <xf numFmtId="164" fontId="25" fillId="7" borderId="44" xfId="1" applyFont="1" applyFill="1" applyBorder="1" applyAlignment="1">
      <alignment horizontal="center"/>
    </xf>
    <xf numFmtId="164" fontId="25" fillId="7" borderId="45" xfId="1" applyFont="1" applyFill="1" applyBorder="1" applyAlignment="1">
      <alignment horizontal="center"/>
    </xf>
    <xf numFmtId="0" fontId="25" fillId="7" borderId="31" xfId="0" applyFont="1" applyFill="1" applyBorder="1" applyAlignment="1">
      <alignment horizontal="left"/>
    </xf>
    <xf numFmtId="0" fontId="25" fillId="7" borderId="32" xfId="0" applyFont="1" applyFill="1" applyBorder="1" applyAlignment="1">
      <alignment horizontal="left"/>
    </xf>
    <xf numFmtId="0" fontId="25" fillId="7" borderId="33" xfId="0" applyFont="1" applyFill="1" applyBorder="1" applyAlignment="1">
      <alignment horizontal="left"/>
    </xf>
    <xf numFmtId="0" fontId="25" fillId="7" borderId="46" xfId="0" applyFont="1" applyFill="1" applyBorder="1" applyAlignment="1">
      <alignment horizontal="left"/>
    </xf>
    <xf numFmtId="0" fontId="25" fillId="7" borderId="18" xfId="0" applyFont="1" applyFill="1" applyBorder="1" applyAlignment="1">
      <alignment horizontal="left"/>
    </xf>
    <xf numFmtId="0" fontId="25" fillId="7" borderId="47" xfId="0" applyFont="1" applyFill="1" applyBorder="1" applyAlignment="1">
      <alignment horizontal="left"/>
    </xf>
    <xf numFmtId="0" fontId="15" fillId="4" borderId="23" xfId="0" applyFont="1" applyFill="1" applyBorder="1" applyAlignment="1">
      <alignment horizontal="center"/>
    </xf>
    <xf numFmtId="0" fontId="15" fillId="4" borderId="24" xfId="0" applyFont="1" applyFill="1" applyBorder="1" applyAlignment="1">
      <alignment horizontal="center"/>
    </xf>
    <xf numFmtId="0" fontId="15" fillId="4" borderId="25" xfId="0" applyFont="1" applyFill="1" applyBorder="1" applyAlignment="1">
      <alignment horizontal="center"/>
    </xf>
    <xf numFmtId="0" fontId="15" fillId="4" borderId="26" xfId="0" applyFont="1" applyFill="1" applyBorder="1" applyAlignment="1">
      <alignment horizontal="center"/>
    </xf>
    <xf numFmtId="0" fontId="15" fillId="4" borderId="0" xfId="0" applyFont="1" applyFill="1" applyBorder="1" applyAlignment="1">
      <alignment horizontal="center"/>
    </xf>
    <xf numFmtId="0" fontId="15" fillId="4" borderId="27" xfId="0" applyFont="1" applyFill="1" applyBorder="1" applyAlignment="1">
      <alignment horizontal="center"/>
    </xf>
    <xf numFmtId="0" fontId="18" fillId="0" borderId="0" xfId="0" applyFont="1" applyAlignment="1">
      <alignment horizontal="center"/>
    </xf>
    <xf numFmtId="0" fontId="0" fillId="0" borderId="43" xfId="0" applyBorder="1" applyAlignment="1">
      <alignment horizontal="center"/>
    </xf>
    <xf numFmtId="0" fontId="0" fillId="0" borderId="45" xfId="0" applyBorder="1" applyAlignment="1">
      <alignment horizontal="center"/>
    </xf>
    <xf numFmtId="0" fontId="10" fillId="0" borderId="0" xfId="0" applyFont="1" applyAlignment="1">
      <alignment wrapText="1"/>
    </xf>
    <xf numFmtId="0" fontId="10" fillId="0" borderId="0" xfId="0" applyFont="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3"/>
  <sheetViews>
    <sheetView workbookViewId="0">
      <selection activeCell="D3" sqref="D3"/>
    </sheetView>
  </sheetViews>
  <sheetFormatPr defaultColWidth="6.7109375" defaultRowHeight="15" x14ac:dyDescent="0.25"/>
  <cols>
    <col min="1" max="1" width="23.5703125" customWidth="1"/>
    <col min="2" max="2" width="15.28515625" customWidth="1"/>
    <col min="3" max="3" width="31.85546875" customWidth="1"/>
    <col min="4" max="4" width="14" customWidth="1"/>
    <col min="5" max="10" width="6.7109375" hidden="1" customWidth="1"/>
    <col min="11" max="13" width="6.7109375" customWidth="1"/>
    <col min="14" max="14" width="7.28515625" customWidth="1"/>
    <col min="15" max="15" width="1.140625" style="4" customWidth="1"/>
    <col min="257" max="257" width="20" customWidth="1"/>
    <col min="258" max="258" width="15.28515625" customWidth="1"/>
    <col min="259" max="259" width="31.85546875" customWidth="1"/>
    <col min="260" max="260" width="14" customWidth="1"/>
    <col min="261" max="266" width="0" hidden="1" customWidth="1"/>
    <col min="267" max="269" width="6.7109375" customWidth="1"/>
    <col min="270" max="270" width="7.28515625" customWidth="1"/>
    <col min="271" max="271" width="1.140625" customWidth="1"/>
    <col min="513" max="513" width="20" customWidth="1"/>
    <col min="514" max="514" width="15.28515625" customWidth="1"/>
    <col min="515" max="515" width="31.85546875" customWidth="1"/>
    <col min="516" max="516" width="14" customWidth="1"/>
    <col min="517" max="522" width="0" hidden="1" customWidth="1"/>
    <col min="523" max="525" width="6.7109375" customWidth="1"/>
    <col min="526" max="526" width="7.28515625" customWidth="1"/>
    <col min="527" max="527" width="1.140625" customWidth="1"/>
    <col min="769" max="769" width="20" customWidth="1"/>
    <col min="770" max="770" width="15.28515625" customWidth="1"/>
    <col min="771" max="771" width="31.85546875" customWidth="1"/>
    <col min="772" max="772" width="14" customWidth="1"/>
    <col min="773" max="778" width="0" hidden="1" customWidth="1"/>
    <col min="779" max="781" width="6.7109375" customWidth="1"/>
    <col min="782" max="782" width="7.28515625" customWidth="1"/>
    <col min="783" max="783" width="1.140625" customWidth="1"/>
    <col min="1025" max="1025" width="20" customWidth="1"/>
    <col min="1026" max="1026" width="15.28515625" customWidth="1"/>
    <col min="1027" max="1027" width="31.85546875" customWidth="1"/>
    <col min="1028" max="1028" width="14" customWidth="1"/>
    <col min="1029" max="1034" width="0" hidden="1" customWidth="1"/>
    <col min="1035" max="1037" width="6.7109375" customWidth="1"/>
    <col min="1038" max="1038" width="7.28515625" customWidth="1"/>
    <col min="1039" max="1039" width="1.140625" customWidth="1"/>
    <col min="1281" max="1281" width="20" customWidth="1"/>
    <col min="1282" max="1282" width="15.28515625" customWidth="1"/>
    <col min="1283" max="1283" width="31.85546875" customWidth="1"/>
    <col min="1284" max="1284" width="14" customWidth="1"/>
    <col min="1285" max="1290" width="0" hidden="1" customWidth="1"/>
    <col min="1291" max="1293" width="6.7109375" customWidth="1"/>
    <col min="1294" max="1294" width="7.28515625" customWidth="1"/>
    <col min="1295" max="1295" width="1.140625" customWidth="1"/>
    <col min="1537" max="1537" width="20" customWidth="1"/>
    <col min="1538" max="1538" width="15.28515625" customWidth="1"/>
    <col min="1539" max="1539" width="31.85546875" customWidth="1"/>
    <col min="1540" max="1540" width="14" customWidth="1"/>
    <col min="1541" max="1546" width="0" hidden="1" customWidth="1"/>
    <col min="1547" max="1549" width="6.7109375" customWidth="1"/>
    <col min="1550" max="1550" width="7.28515625" customWidth="1"/>
    <col min="1551" max="1551" width="1.140625" customWidth="1"/>
    <col min="1793" max="1793" width="20" customWidth="1"/>
    <col min="1794" max="1794" width="15.28515625" customWidth="1"/>
    <col min="1795" max="1795" width="31.85546875" customWidth="1"/>
    <col min="1796" max="1796" width="14" customWidth="1"/>
    <col min="1797" max="1802" width="0" hidden="1" customWidth="1"/>
    <col min="1803" max="1805" width="6.7109375" customWidth="1"/>
    <col min="1806" max="1806" width="7.28515625" customWidth="1"/>
    <col min="1807" max="1807" width="1.140625" customWidth="1"/>
    <col min="2049" max="2049" width="20" customWidth="1"/>
    <col min="2050" max="2050" width="15.28515625" customWidth="1"/>
    <col min="2051" max="2051" width="31.85546875" customWidth="1"/>
    <col min="2052" max="2052" width="14" customWidth="1"/>
    <col min="2053" max="2058" width="0" hidden="1" customWidth="1"/>
    <col min="2059" max="2061" width="6.7109375" customWidth="1"/>
    <col min="2062" max="2062" width="7.28515625" customWidth="1"/>
    <col min="2063" max="2063" width="1.140625" customWidth="1"/>
    <col min="2305" max="2305" width="20" customWidth="1"/>
    <col min="2306" max="2306" width="15.28515625" customWidth="1"/>
    <col min="2307" max="2307" width="31.85546875" customWidth="1"/>
    <col min="2308" max="2308" width="14" customWidth="1"/>
    <col min="2309" max="2314" width="0" hidden="1" customWidth="1"/>
    <col min="2315" max="2317" width="6.7109375" customWidth="1"/>
    <col min="2318" max="2318" width="7.28515625" customWidth="1"/>
    <col min="2319" max="2319" width="1.140625" customWidth="1"/>
    <col min="2561" max="2561" width="20" customWidth="1"/>
    <col min="2562" max="2562" width="15.28515625" customWidth="1"/>
    <col min="2563" max="2563" width="31.85546875" customWidth="1"/>
    <col min="2564" max="2564" width="14" customWidth="1"/>
    <col min="2565" max="2570" width="0" hidden="1" customWidth="1"/>
    <col min="2571" max="2573" width="6.7109375" customWidth="1"/>
    <col min="2574" max="2574" width="7.28515625" customWidth="1"/>
    <col min="2575" max="2575" width="1.140625" customWidth="1"/>
    <col min="2817" max="2817" width="20" customWidth="1"/>
    <col min="2818" max="2818" width="15.28515625" customWidth="1"/>
    <col min="2819" max="2819" width="31.85546875" customWidth="1"/>
    <col min="2820" max="2820" width="14" customWidth="1"/>
    <col min="2821" max="2826" width="0" hidden="1" customWidth="1"/>
    <col min="2827" max="2829" width="6.7109375" customWidth="1"/>
    <col min="2830" max="2830" width="7.28515625" customWidth="1"/>
    <col min="2831" max="2831" width="1.140625" customWidth="1"/>
    <col min="3073" max="3073" width="20" customWidth="1"/>
    <col min="3074" max="3074" width="15.28515625" customWidth="1"/>
    <col min="3075" max="3075" width="31.85546875" customWidth="1"/>
    <col min="3076" max="3076" width="14" customWidth="1"/>
    <col min="3077" max="3082" width="0" hidden="1" customWidth="1"/>
    <col min="3083" max="3085" width="6.7109375" customWidth="1"/>
    <col min="3086" max="3086" width="7.28515625" customWidth="1"/>
    <col min="3087" max="3087" width="1.140625" customWidth="1"/>
    <col min="3329" max="3329" width="20" customWidth="1"/>
    <col min="3330" max="3330" width="15.28515625" customWidth="1"/>
    <col min="3331" max="3331" width="31.85546875" customWidth="1"/>
    <col min="3332" max="3332" width="14" customWidth="1"/>
    <col min="3333" max="3338" width="0" hidden="1" customWidth="1"/>
    <col min="3339" max="3341" width="6.7109375" customWidth="1"/>
    <col min="3342" max="3342" width="7.28515625" customWidth="1"/>
    <col min="3343" max="3343" width="1.140625" customWidth="1"/>
    <col min="3585" max="3585" width="20" customWidth="1"/>
    <col min="3586" max="3586" width="15.28515625" customWidth="1"/>
    <col min="3587" max="3587" width="31.85546875" customWidth="1"/>
    <col min="3588" max="3588" width="14" customWidth="1"/>
    <col min="3589" max="3594" width="0" hidden="1" customWidth="1"/>
    <col min="3595" max="3597" width="6.7109375" customWidth="1"/>
    <col min="3598" max="3598" width="7.28515625" customWidth="1"/>
    <col min="3599" max="3599" width="1.140625" customWidth="1"/>
    <col min="3841" max="3841" width="20" customWidth="1"/>
    <col min="3842" max="3842" width="15.28515625" customWidth="1"/>
    <col min="3843" max="3843" width="31.85546875" customWidth="1"/>
    <col min="3844" max="3844" width="14" customWidth="1"/>
    <col min="3845" max="3850" width="0" hidden="1" customWidth="1"/>
    <col min="3851" max="3853" width="6.7109375" customWidth="1"/>
    <col min="3854" max="3854" width="7.28515625" customWidth="1"/>
    <col min="3855" max="3855" width="1.140625" customWidth="1"/>
    <col min="4097" max="4097" width="20" customWidth="1"/>
    <col min="4098" max="4098" width="15.28515625" customWidth="1"/>
    <col min="4099" max="4099" width="31.85546875" customWidth="1"/>
    <col min="4100" max="4100" width="14" customWidth="1"/>
    <col min="4101" max="4106" width="0" hidden="1" customWidth="1"/>
    <col min="4107" max="4109" width="6.7109375" customWidth="1"/>
    <col min="4110" max="4110" width="7.28515625" customWidth="1"/>
    <col min="4111" max="4111" width="1.140625" customWidth="1"/>
    <col min="4353" max="4353" width="20" customWidth="1"/>
    <col min="4354" max="4354" width="15.28515625" customWidth="1"/>
    <col min="4355" max="4355" width="31.85546875" customWidth="1"/>
    <col min="4356" max="4356" width="14" customWidth="1"/>
    <col min="4357" max="4362" width="0" hidden="1" customWidth="1"/>
    <col min="4363" max="4365" width="6.7109375" customWidth="1"/>
    <col min="4366" max="4366" width="7.28515625" customWidth="1"/>
    <col min="4367" max="4367" width="1.140625" customWidth="1"/>
    <col min="4609" max="4609" width="20" customWidth="1"/>
    <col min="4610" max="4610" width="15.28515625" customWidth="1"/>
    <col min="4611" max="4611" width="31.85546875" customWidth="1"/>
    <col min="4612" max="4612" width="14" customWidth="1"/>
    <col min="4613" max="4618" width="0" hidden="1" customWidth="1"/>
    <col min="4619" max="4621" width="6.7109375" customWidth="1"/>
    <col min="4622" max="4622" width="7.28515625" customWidth="1"/>
    <col min="4623" max="4623" width="1.140625" customWidth="1"/>
    <col min="4865" max="4865" width="20" customWidth="1"/>
    <col min="4866" max="4866" width="15.28515625" customWidth="1"/>
    <col min="4867" max="4867" width="31.85546875" customWidth="1"/>
    <col min="4868" max="4868" width="14" customWidth="1"/>
    <col min="4869" max="4874" width="0" hidden="1" customWidth="1"/>
    <col min="4875" max="4877" width="6.7109375" customWidth="1"/>
    <col min="4878" max="4878" width="7.28515625" customWidth="1"/>
    <col min="4879" max="4879" width="1.140625" customWidth="1"/>
    <col min="5121" max="5121" width="20" customWidth="1"/>
    <col min="5122" max="5122" width="15.28515625" customWidth="1"/>
    <col min="5123" max="5123" width="31.85546875" customWidth="1"/>
    <col min="5124" max="5124" width="14" customWidth="1"/>
    <col min="5125" max="5130" width="0" hidden="1" customWidth="1"/>
    <col min="5131" max="5133" width="6.7109375" customWidth="1"/>
    <col min="5134" max="5134" width="7.28515625" customWidth="1"/>
    <col min="5135" max="5135" width="1.140625" customWidth="1"/>
    <col min="5377" max="5377" width="20" customWidth="1"/>
    <col min="5378" max="5378" width="15.28515625" customWidth="1"/>
    <col min="5379" max="5379" width="31.85546875" customWidth="1"/>
    <col min="5380" max="5380" width="14" customWidth="1"/>
    <col min="5381" max="5386" width="0" hidden="1" customWidth="1"/>
    <col min="5387" max="5389" width="6.7109375" customWidth="1"/>
    <col min="5390" max="5390" width="7.28515625" customWidth="1"/>
    <col min="5391" max="5391" width="1.140625" customWidth="1"/>
    <col min="5633" max="5633" width="20" customWidth="1"/>
    <col min="5634" max="5634" width="15.28515625" customWidth="1"/>
    <col min="5635" max="5635" width="31.85546875" customWidth="1"/>
    <col min="5636" max="5636" width="14" customWidth="1"/>
    <col min="5637" max="5642" width="0" hidden="1" customWidth="1"/>
    <col min="5643" max="5645" width="6.7109375" customWidth="1"/>
    <col min="5646" max="5646" width="7.28515625" customWidth="1"/>
    <col min="5647" max="5647" width="1.140625" customWidth="1"/>
    <col min="5889" max="5889" width="20" customWidth="1"/>
    <col min="5890" max="5890" width="15.28515625" customWidth="1"/>
    <col min="5891" max="5891" width="31.85546875" customWidth="1"/>
    <col min="5892" max="5892" width="14" customWidth="1"/>
    <col min="5893" max="5898" width="0" hidden="1" customWidth="1"/>
    <col min="5899" max="5901" width="6.7109375" customWidth="1"/>
    <col min="5902" max="5902" width="7.28515625" customWidth="1"/>
    <col min="5903" max="5903" width="1.140625" customWidth="1"/>
    <col min="6145" max="6145" width="20" customWidth="1"/>
    <col min="6146" max="6146" width="15.28515625" customWidth="1"/>
    <col min="6147" max="6147" width="31.85546875" customWidth="1"/>
    <col min="6148" max="6148" width="14" customWidth="1"/>
    <col min="6149" max="6154" width="0" hidden="1" customWidth="1"/>
    <col min="6155" max="6157" width="6.7109375" customWidth="1"/>
    <col min="6158" max="6158" width="7.28515625" customWidth="1"/>
    <col min="6159" max="6159" width="1.140625" customWidth="1"/>
    <col min="6401" max="6401" width="20" customWidth="1"/>
    <col min="6402" max="6402" width="15.28515625" customWidth="1"/>
    <col min="6403" max="6403" width="31.85546875" customWidth="1"/>
    <col min="6404" max="6404" width="14" customWidth="1"/>
    <col min="6405" max="6410" width="0" hidden="1" customWidth="1"/>
    <col min="6411" max="6413" width="6.7109375" customWidth="1"/>
    <col min="6414" max="6414" width="7.28515625" customWidth="1"/>
    <col min="6415" max="6415" width="1.140625" customWidth="1"/>
    <col min="6657" max="6657" width="20" customWidth="1"/>
    <col min="6658" max="6658" width="15.28515625" customWidth="1"/>
    <col min="6659" max="6659" width="31.85546875" customWidth="1"/>
    <col min="6660" max="6660" width="14" customWidth="1"/>
    <col min="6661" max="6666" width="0" hidden="1" customWidth="1"/>
    <col min="6667" max="6669" width="6.7109375" customWidth="1"/>
    <col min="6670" max="6670" width="7.28515625" customWidth="1"/>
    <col min="6671" max="6671" width="1.140625" customWidth="1"/>
    <col min="6913" max="6913" width="20" customWidth="1"/>
    <col min="6914" max="6914" width="15.28515625" customWidth="1"/>
    <col min="6915" max="6915" width="31.85546875" customWidth="1"/>
    <col min="6916" max="6916" width="14" customWidth="1"/>
    <col min="6917" max="6922" width="0" hidden="1" customWidth="1"/>
    <col min="6923" max="6925" width="6.7109375" customWidth="1"/>
    <col min="6926" max="6926" width="7.28515625" customWidth="1"/>
    <col min="6927" max="6927" width="1.140625" customWidth="1"/>
    <col min="7169" max="7169" width="20" customWidth="1"/>
    <col min="7170" max="7170" width="15.28515625" customWidth="1"/>
    <col min="7171" max="7171" width="31.85546875" customWidth="1"/>
    <col min="7172" max="7172" width="14" customWidth="1"/>
    <col min="7173" max="7178" width="0" hidden="1" customWidth="1"/>
    <col min="7179" max="7181" width="6.7109375" customWidth="1"/>
    <col min="7182" max="7182" width="7.28515625" customWidth="1"/>
    <col min="7183" max="7183" width="1.140625" customWidth="1"/>
    <col min="7425" max="7425" width="20" customWidth="1"/>
    <col min="7426" max="7426" width="15.28515625" customWidth="1"/>
    <col min="7427" max="7427" width="31.85546875" customWidth="1"/>
    <col min="7428" max="7428" width="14" customWidth="1"/>
    <col min="7429" max="7434" width="0" hidden="1" customWidth="1"/>
    <col min="7435" max="7437" width="6.7109375" customWidth="1"/>
    <col min="7438" max="7438" width="7.28515625" customWidth="1"/>
    <col min="7439" max="7439" width="1.140625" customWidth="1"/>
    <col min="7681" max="7681" width="20" customWidth="1"/>
    <col min="7682" max="7682" width="15.28515625" customWidth="1"/>
    <col min="7683" max="7683" width="31.85546875" customWidth="1"/>
    <col min="7684" max="7684" width="14" customWidth="1"/>
    <col min="7685" max="7690" width="0" hidden="1" customWidth="1"/>
    <col min="7691" max="7693" width="6.7109375" customWidth="1"/>
    <col min="7694" max="7694" width="7.28515625" customWidth="1"/>
    <col min="7695" max="7695" width="1.140625" customWidth="1"/>
    <col min="7937" max="7937" width="20" customWidth="1"/>
    <col min="7938" max="7938" width="15.28515625" customWidth="1"/>
    <col min="7939" max="7939" width="31.85546875" customWidth="1"/>
    <col min="7940" max="7940" width="14" customWidth="1"/>
    <col min="7941" max="7946" width="0" hidden="1" customWidth="1"/>
    <col min="7947" max="7949" width="6.7109375" customWidth="1"/>
    <col min="7950" max="7950" width="7.28515625" customWidth="1"/>
    <col min="7951" max="7951" width="1.140625" customWidth="1"/>
    <col min="8193" max="8193" width="20" customWidth="1"/>
    <col min="8194" max="8194" width="15.28515625" customWidth="1"/>
    <col min="8195" max="8195" width="31.85546875" customWidth="1"/>
    <col min="8196" max="8196" width="14" customWidth="1"/>
    <col min="8197" max="8202" width="0" hidden="1" customWidth="1"/>
    <col min="8203" max="8205" width="6.7109375" customWidth="1"/>
    <col min="8206" max="8206" width="7.28515625" customWidth="1"/>
    <col min="8207" max="8207" width="1.140625" customWidth="1"/>
    <col min="8449" max="8449" width="20" customWidth="1"/>
    <col min="8450" max="8450" width="15.28515625" customWidth="1"/>
    <col min="8451" max="8451" width="31.85546875" customWidth="1"/>
    <col min="8452" max="8452" width="14" customWidth="1"/>
    <col min="8453" max="8458" width="0" hidden="1" customWidth="1"/>
    <col min="8459" max="8461" width="6.7109375" customWidth="1"/>
    <col min="8462" max="8462" width="7.28515625" customWidth="1"/>
    <col min="8463" max="8463" width="1.140625" customWidth="1"/>
    <col min="8705" max="8705" width="20" customWidth="1"/>
    <col min="8706" max="8706" width="15.28515625" customWidth="1"/>
    <col min="8707" max="8707" width="31.85546875" customWidth="1"/>
    <col min="8708" max="8708" width="14" customWidth="1"/>
    <col min="8709" max="8714" width="0" hidden="1" customWidth="1"/>
    <col min="8715" max="8717" width="6.7109375" customWidth="1"/>
    <col min="8718" max="8718" width="7.28515625" customWidth="1"/>
    <col min="8719" max="8719" width="1.140625" customWidth="1"/>
    <col min="8961" max="8961" width="20" customWidth="1"/>
    <col min="8962" max="8962" width="15.28515625" customWidth="1"/>
    <col min="8963" max="8963" width="31.85546875" customWidth="1"/>
    <col min="8964" max="8964" width="14" customWidth="1"/>
    <col min="8965" max="8970" width="0" hidden="1" customWidth="1"/>
    <col min="8971" max="8973" width="6.7109375" customWidth="1"/>
    <col min="8974" max="8974" width="7.28515625" customWidth="1"/>
    <col min="8975" max="8975" width="1.140625" customWidth="1"/>
    <col min="9217" max="9217" width="20" customWidth="1"/>
    <col min="9218" max="9218" width="15.28515625" customWidth="1"/>
    <col min="9219" max="9219" width="31.85546875" customWidth="1"/>
    <col min="9220" max="9220" width="14" customWidth="1"/>
    <col min="9221" max="9226" width="0" hidden="1" customWidth="1"/>
    <col min="9227" max="9229" width="6.7109375" customWidth="1"/>
    <col min="9230" max="9230" width="7.28515625" customWidth="1"/>
    <col min="9231" max="9231" width="1.140625" customWidth="1"/>
    <col min="9473" max="9473" width="20" customWidth="1"/>
    <col min="9474" max="9474" width="15.28515625" customWidth="1"/>
    <col min="9475" max="9475" width="31.85546875" customWidth="1"/>
    <col min="9476" max="9476" width="14" customWidth="1"/>
    <col min="9477" max="9482" width="0" hidden="1" customWidth="1"/>
    <col min="9483" max="9485" width="6.7109375" customWidth="1"/>
    <col min="9486" max="9486" width="7.28515625" customWidth="1"/>
    <col min="9487" max="9487" width="1.140625" customWidth="1"/>
    <col min="9729" max="9729" width="20" customWidth="1"/>
    <col min="9730" max="9730" width="15.28515625" customWidth="1"/>
    <col min="9731" max="9731" width="31.85546875" customWidth="1"/>
    <col min="9732" max="9732" width="14" customWidth="1"/>
    <col min="9733" max="9738" width="0" hidden="1" customWidth="1"/>
    <col min="9739" max="9741" width="6.7109375" customWidth="1"/>
    <col min="9742" max="9742" width="7.28515625" customWidth="1"/>
    <col min="9743" max="9743" width="1.140625" customWidth="1"/>
    <col min="9985" max="9985" width="20" customWidth="1"/>
    <col min="9986" max="9986" width="15.28515625" customWidth="1"/>
    <col min="9987" max="9987" width="31.85546875" customWidth="1"/>
    <col min="9988" max="9988" width="14" customWidth="1"/>
    <col min="9989" max="9994" width="0" hidden="1" customWidth="1"/>
    <col min="9995" max="9997" width="6.7109375" customWidth="1"/>
    <col min="9998" max="9998" width="7.28515625" customWidth="1"/>
    <col min="9999" max="9999" width="1.140625" customWidth="1"/>
    <col min="10241" max="10241" width="20" customWidth="1"/>
    <col min="10242" max="10242" width="15.28515625" customWidth="1"/>
    <col min="10243" max="10243" width="31.85546875" customWidth="1"/>
    <col min="10244" max="10244" width="14" customWidth="1"/>
    <col min="10245" max="10250" width="0" hidden="1" customWidth="1"/>
    <col min="10251" max="10253" width="6.7109375" customWidth="1"/>
    <col min="10254" max="10254" width="7.28515625" customWidth="1"/>
    <col min="10255" max="10255" width="1.140625" customWidth="1"/>
    <col min="10497" max="10497" width="20" customWidth="1"/>
    <col min="10498" max="10498" width="15.28515625" customWidth="1"/>
    <col min="10499" max="10499" width="31.85546875" customWidth="1"/>
    <col min="10500" max="10500" width="14" customWidth="1"/>
    <col min="10501" max="10506" width="0" hidden="1" customWidth="1"/>
    <col min="10507" max="10509" width="6.7109375" customWidth="1"/>
    <col min="10510" max="10510" width="7.28515625" customWidth="1"/>
    <col min="10511" max="10511" width="1.140625" customWidth="1"/>
    <col min="10753" max="10753" width="20" customWidth="1"/>
    <col min="10754" max="10754" width="15.28515625" customWidth="1"/>
    <col min="10755" max="10755" width="31.85546875" customWidth="1"/>
    <col min="10756" max="10756" width="14" customWidth="1"/>
    <col min="10757" max="10762" width="0" hidden="1" customWidth="1"/>
    <col min="10763" max="10765" width="6.7109375" customWidth="1"/>
    <col min="10766" max="10766" width="7.28515625" customWidth="1"/>
    <col min="10767" max="10767" width="1.140625" customWidth="1"/>
    <col min="11009" max="11009" width="20" customWidth="1"/>
    <col min="11010" max="11010" width="15.28515625" customWidth="1"/>
    <col min="11011" max="11011" width="31.85546875" customWidth="1"/>
    <col min="11012" max="11012" width="14" customWidth="1"/>
    <col min="11013" max="11018" width="0" hidden="1" customWidth="1"/>
    <col min="11019" max="11021" width="6.7109375" customWidth="1"/>
    <col min="11022" max="11022" width="7.28515625" customWidth="1"/>
    <col min="11023" max="11023" width="1.140625" customWidth="1"/>
    <col min="11265" max="11265" width="20" customWidth="1"/>
    <col min="11266" max="11266" width="15.28515625" customWidth="1"/>
    <col min="11267" max="11267" width="31.85546875" customWidth="1"/>
    <col min="11268" max="11268" width="14" customWidth="1"/>
    <col min="11269" max="11274" width="0" hidden="1" customWidth="1"/>
    <col min="11275" max="11277" width="6.7109375" customWidth="1"/>
    <col min="11278" max="11278" width="7.28515625" customWidth="1"/>
    <col min="11279" max="11279" width="1.140625" customWidth="1"/>
    <col min="11521" max="11521" width="20" customWidth="1"/>
    <col min="11522" max="11522" width="15.28515625" customWidth="1"/>
    <col min="11523" max="11523" width="31.85546875" customWidth="1"/>
    <col min="11524" max="11524" width="14" customWidth="1"/>
    <col min="11525" max="11530" width="0" hidden="1" customWidth="1"/>
    <col min="11531" max="11533" width="6.7109375" customWidth="1"/>
    <col min="11534" max="11534" width="7.28515625" customWidth="1"/>
    <col min="11535" max="11535" width="1.140625" customWidth="1"/>
    <col min="11777" max="11777" width="20" customWidth="1"/>
    <col min="11778" max="11778" width="15.28515625" customWidth="1"/>
    <col min="11779" max="11779" width="31.85546875" customWidth="1"/>
    <col min="11780" max="11780" width="14" customWidth="1"/>
    <col min="11781" max="11786" width="0" hidden="1" customWidth="1"/>
    <col min="11787" max="11789" width="6.7109375" customWidth="1"/>
    <col min="11790" max="11790" width="7.28515625" customWidth="1"/>
    <col min="11791" max="11791" width="1.140625" customWidth="1"/>
    <col min="12033" max="12033" width="20" customWidth="1"/>
    <col min="12034" max="12034" width="15.28515625" customWidth="1"/>
    <col min="12035" max="12035" width="31.85546875" customWidth="1"/>
    <col min="12036" max="12036" width="14" customWidth="1"/>
    <col min="12037" max="12042" width="0" hidden="1" customWidth="1"/>
    <col min="12043" max="12045" width="6.7109375" customWidth="1"/>
    <col min="12046" max="12046" width="7.28515625" customWidth="1"/>
    <col min="12047" max="12047" width="1.140625" customWidth="1"/>
    <col min="12289" max="12289" width="20" customWidth="1"/>
    <col min="12290" max="12290" width="15.28515625" customWidth="1"/>
    <col min="12291" max="12291" width="31.85546875" customWidth="1"/>
    <col min="12292" max="12292" width="14" customWidth="1"/>
    <col min="12293" max="12298" width="0" hidden="1" customWidth="1"/>
    <col min="12299" max="12301" width="6.7109375" customWidth="1"/>
    <col min="12302" max="12302" width="7.28515625" customWidth="1"/>
    <col min="12303" max="12303" width="1.140625" customWidth="1"/>
    <col min="12545" max="12545" width="20" customWidth="1"/>
    <col min="12546" max="12546" width="15.28515625" customWidth="1"/>
    <col min="12547" max="12547" width="31.85546875" customWidth="1"/>
    <col min="12548" max="12548" width="14" customWidth="1"/>
    <col min="12549" max="12554" width="0" hidden="1" customWidth="1"/>
    <col min="12555" max="12557" width="6.7109375" customWidth="1"/>
    <col min="12558" max="12558" width="7.28515625" customWidth="1"/>
    <col min="12559" max="12559" width="1.140625" customWidth="1"/>
    <col min="12801" max="12801" width="20" customWidth="1"/>
    <col min="12802" max="12802" width="15.28515625" customWidth="1"/>
    <col min="12803" max="12803" width="31.85546875" customWidth="1"/>
    <col min="12804" max="12804" width="14" customWidth="1"/>
    <col min="12805" max="12810" width="0" hidden="1" customWidth="1"/>
    <col min="12811" max="12813" width="6.7109375" customWidth="1"/>
    <col min="12814" max="12814" width="7.28515625" customWidth="1"/>
    <col min="12815" max="12815" width="1.140625" customWidth="1"/>
    <col min="13057" max="13057" width="20" customWidth="1"/>
    <col min="13058" max="13058" width="15.28515625" customWidth="1"/>
    <col min="13059" max="13059" width="31.85546875" customWidth="1"/>
    <col min="13060" max="13060" width="14" customWidth="1"/>
    <col min="13061" max="13066" width="0" hidden="1" customWidth="1"/>
    <col min="13067" max="13069" width="6.7109375" customWidth="1"/>
    <col min="13070" max="13070" width="7.28515625" customWidth="1"/>
    <col min="13071" max="13071" width="1.140625" customWidth="1"/>
    <col min="13313" max="13313" width="20" customWidth="1"/>
    <col min="13314" max="13314" width="15.28515625" customWidth="1"/>
    <col min="13315" max="13315" width="31.85546875" customWidth="1"/>
    <col min="13316" max="13316" width="14" customWidth="1"/>
    <col min="13317" max="13322" width="0" hidden="1" customWidth="1"/>
    <col min="13323" max="13325" width="6.7109375" customWidth="1"/>
    <col min="13326" max="13326" width="7.28515625" customWidth="1"/>
    <col min="13327" max="13327" width="1.140625" customWidth="1"/>
    <col min="13569" max="13569" width="20" customWidth="1"/>
    <col min="13570" max="13570" width="15.28515625" customWidth="1"/>
    <col min="13571" max="13571" width="31.85546875" customWidth="1"/>
    <col min="13572" max="13572" width="14" customWidth="1"/>
    <col min="13573" max="13578" width="0" hidden="1" customWidth="1"/>
    <col min="13579" max="13581" width="6.7109375" customWidth="1"/>
    <col min="13582" max="13582" width="7.28515625" customWidth="1"/>
    <col min="13583" max="13583" width="1.140625" customWidth="1"/>
    <col min="13825" max="13825" width="20" customWidth="1"/>
    <col min="13826" max="13826" width="15.28515625" customWidth="1"/>
    <col min="13827" max="13827" width="31.85546875" customWidth="1"/>
    <col min="13828" max="13828" width="14" customWidth="1"/>
    <col min="13829" max="13834" width="0" hidden="1" customWidth="1"/>
    <col min="13835" max="13837" width="6.7109375" customWidth="1"/>
    <col min="13838" max="13838" width="7.28515625" customWidth="1"/>
    <col min="13839" max="13839" width="1.140625" customWidth="1"/>
    <col min="14081" max="14081" width="20" customWidth="1"/>
    <col min="14082" max="14082" width="15.28515625" customWidth="1"/>
    <col min="14083" max="14083" width="31.85546875" customWidth="1"/>
    <col min="14084" max="14084" width="14" customWidth="1"/>
    <col min="14085" max="14090" width="0" hidden="1" customWidth="1"/>
    <col min="14091" max="14093" width="6.7109375" customWidth="1"/>
    <col min="14094" max="14094" width="7.28515625" customWidth="1"/>
    <col min="14095" max="14095" width="1.140625" customWidth="1"/>
    <col min="14337" max="14337" width="20" customWidth="1"/>
    <col min="14338" max="14338" width="15.28515625" customWidth="1"/>
    <col min="14339" max="14339" width="31.85546875" customWidth="1"/>
    <col min="14340" max="14340" width="14" customWidth="1"/>
    <col min="14341" max="14346" width="0" hidden="1" customWidth="1"/>
    <col min="14347" max="14349" width="6.7109375" customWidth="1"/>
    <col min="14350" max="14350" width="7.28515625" customWidth="1"/>
    <col min="14351" max="14351" width="1.140625" customWidth="1"/>
    <col min="14593" max="14593" width="20" customWidth="1"/>
    <col min="14594" max="14594" width="15.28515625" customWidth="1"/>
    <col min="14595" max="14595" width="31.85546875" customWidth="1"/>
    <col min="14596" max="14596" width="14" customWidth="1"/>
    <col min="14597" max="14602" width="0" hidden="1" customWidth="1"/>
    <col min="14603" max="14605" width="6.7109375" customWidth="1"/>
    <col min="14606" max="14606" width="7.28515625" customWidth="1"/>
    <col min="14607" max="14607" width="1.140625" customWidth="1"/>
    <col min="14849" max="14849" width="20" customWidth="1"/>
    <col min="14850" max="14850" width="15.28515625" customWidth="1"/>
    <col min="14851" max="14851" width="31.85546875" customWidth="1"/>
    <col min="14852" max="14852" width="14" customWidth="1"/>
    <col min="14853" max="14858" width="0" hidden="1" customWidth="1"/>
    <col min="14859" max="14861" width="6.7109375" customWidth="1"/>
    <col min="14862" max="14862" width="7.28515625" customWidth="1"/>
    <col min="14863" max="14863" width="1.140625" customWidth="1"/>
    <col min="15105" max="15105" width="20" customWidth="1"/>
    <col min="15106" max="15106" width="15.28515625" customWidth="1"/>
    <col min="15107" max="15107" width="31.85546875" customWidth="1"/>
    <col min="15108" max="15108" width="14" customWidth="1"/>
    <col min="15109" max="15114" width="0" hidden="1" customWidth="1"/>
    <col min="15115" max="15117" width="6.7109375" customWidth="1"/>
    <col min="15118" max="15118" width="7.28515625" customWidth="1"/>
    <col min="15119" max="15119" width="1.140625" customWidth="1"/>
    <col min="15361" max="15361" width="20" customWidth="1"/>
    <col min="15362" max="15362" width="15.28515625" customWidth="1"/>
    <col min="15363" max="15363" width="31.85546875" customWidth="1"/>
    <col min="15364" max="15364" width="14" customWidth="1"/>
    <col min="15365" max="15370" width="0" hidden="1" customWidth="1"/>
    <col min="15371" max="15373" width="6.7109375" customWidth="1"/>
    <col min="15374" max="15374" width="7.28515625" customWidth="1"/>
    <col min="15375" max="15375" width="1.140625" customWidth="1"/>
    <col min="15617" max="15617" width="20" customWidth="1"/>
    <col min="15618" max="15618" width="15.28515625" customWidth="1"/>
    <col min="15619" max="15619" width="31.85546875" customWidth="1"/>
    <col min="15620" max="15620" width="14" customWidth="1"/>
    <col min="15621" max="15626" width="0" hidden="1" customWidth="1"/>
    <col min="15627" max="15629" width="6.7109375" customWidth="1"/>
    <col min="15630" max="15630" width="7.28515625" customWidth="1"/>
    <col min="15631" max="15631" width="1.140625" customWidth="1"/>
    <col min="15873" max="15873" width="20" customWidth="1"/>
    <col min="15874" max="15874" width="15.28515625" customWidth="1"/>
    <col min="15875" max="15875" width="31.85546875" customWidth="1"/>
    <col min="15876" max="15876" width="14" customWidth="1"/>
    <col min="15877" max="15882" width="0" hidden="1" customWidth="1"/>
    <col min="15883" max="15885" width="6.7109375" customWidth="1"/>
    <col min="15886" max="15886" width="7.28515625" customWidth="1"/>
    <col min="15887" max="15887" width="1.140625" customWidth="1"/>
    <col min="16129" max="16129" width="20" customWidth="1"/>
    <col min="16130" max="16130" width="15.28515625" customWidth="1"/>
    <col min="16131" max="16131" width="31.85546875" customWidth="1"/>
    <col min="16132" max="16132" width="14" customWidth="1"/>
    <col min="16133" max="16138" width="0" hidden="1" customWidth="1"/>
    <col min="16139" max="16141" width="6.7109375" customWidth="1"/>
    <col min="16142" max="16142" width="7.28515625" customWidth="1"/>
    <col min="16143" max="16143" width="1.140625" customWidth="1"/>
  </cols>
  <sheetData>
    <row r="1" spans="1:21" x14ac:dyDescent="0.25">
      <c r="A1" s="1"/>
      <c r="B1" s="2" t="s">
        <v>0</v>
      </c>
      <c r="C1" s="3" t="s">
        <v>1</v>
      </c>
      <c r="D1" t="s">
        <v>292</v>
      </c>
    </row>
    <row r="2" spans="1:21" s="8" customFormat="1" ht="22.5" customHeight="1" thickBot="1" x14ac:dyDescent="0.25">
      <c r="A2" s="5" t="s">
        <v>2</v>
      </c>
      <c r="B2" s="6">
        <v>26</v>
      </c>
      <c r="C2" s="7">
        <v>148</v>
      </c>
      <c r="D2" s="8">
        <v>26111992</v>
      </c>
      <c r="O2" s="9"/>
    </row>
    <row r="3" spans="1:21" s="8" customFormat="1" ht="12.75" x14ac:dyDescent="0.2">
      <c r="A3" s="8" t="s">
        <v>3</v>
      </c>
      <c r="B3" s="8" t="s">
        <v>4</v>
      </c>
      <c r="K3" s="8" t="s">
        <v>5</v>
      </c>
      <c r="L3" s="8" t="s">
        <v>6</v>
      </c>
      <c r="M3" s="8" t="s">
        <v>7</v>
      </c>
      <c r="N3" s="8" t="s">
        <v>8</v>
      </c>
      <c r="O3" s="9"/>
      <c r="P3" s="8" t="s">
        <v>9</v>
      </c>
      <c r="Q3" s="8" t="s">
        <v>10</v>
      </c>
      <c r="R3" s="8" t="s">
        <v>11</v>
      </c>
      <c r="S3" s="8" t="s">
        <v>12</v>
      </c>
      <c r="T3" s="8" t="s">
        <v>13</v>
      </c>
      <c r="U3" s="199" t="s">
        <v>258</v>
      </c>
    </row>
    <row r="4" spans="1:21" hidden="1" x14ac:dyDescent="0.25">
      <c r="A4" s="10">
        <v>38869</v>
      </c>
      <c r="B4" s="11" t="s">
        <v>14</v>
      </c>
      <c r="N4" s="11">
        <f>((2*C2)+1)*1000</f>
        <v>297000</v>
      </c>
      <c r="P4" s="11">
        <f>(1+(2*C2))*1000</f>
        <v>297000</v>
      </c>
    </row>
    <row r="5" spans="1:21" hidden="1" x14ac:dyDescent="0.25">
      <c r="A5" s="10" t="s">
        <v>15</v>
      </c>
      <c r="N5" s="11">
        <f>N4</f>
        <v>297000</v>
      </c>
      <c r="P5" s="11">
        <f>P4</f>
        <v>297000</v>
      </c>
    </row>
    <row r="6" spans="1:21" hidden="1" x14ac:dyDescent="0.25">
      <c r="A6" s="10">
        <v>38869</v>
      </c>
      <c r="B6" s="12" t="s">
        <v>16</v>
      </c>
      <c r="N6" s="11">
        <f>((B2)*1000)</f>
        <v>26000</v>
      </c>
      <c r="R6">
        <f>((B2)*1000)</f>
        <v>26000</v>
      </c>
    </row>
    <row r="7" spans="1:21" hidden="1" x14ac:dyDescent="0.25">
      <c r="A7" s="10" t="s">
        <v>15</v>
      </c>
      <c r="L7" s="11">
        <f t="shared" ref="L7:S7" si="0">L6+L5</f>
        <v>0</v>
      </c>
      <c r="M7" s="11">
        <f t="shared" si="0"/>
        <v>0</v>
      </c>
      <c r="N7" s="11">
        <f t="shared" si="0"/>
        <v>323000</v>
      </c>
      <c r="O7" s="4">
        <f t="shared" si="0"/>
        <v>0</v>
      </c>
      <c r="P7" s="11">
        <f t="shared" si="0"/>
        <v>297000</v>
      </c>
      <c r="Q7" s="11">
        <f t="shared" si="0"/>
        <v>0</v>
      </c>
      <c r="R7" s="11">
        <f t="shared" si="0"/>
        <v>26000</v>
      </c>
      <c r="S7" s="11">
        <f t="shared" si="0"/>
        <v>0</v>
      </c>
    </row>
    <row r="8" spans="1:21" s="201" customFormat="1" hidden="1" x14ac:dyDescent="0.25">
      <c r="A8" s="200">
        <v>42887</v>
      </c>
      <c r="B8" s="201" t="s">
        <v>278</v>
      </c>
      <c r="N8" s="201">
        <f>((B2)*2000)</f>
        <v>52000</v>
      </c>
      <c r="O8" s="202"/>
      <c r="U8" s="201">
        <f>((B2)*2000)</f>
        <v>52000</v>
      </c>
    </row>
    <row r="9" spans="1:21" s="201" customFormat="1" hidden="1" x14ac:dyDescent="0.25">
      <c r="A9" s="200" t="s">
        <v>15</v>
      </c>
      <c r="L9" s="201">
        <f t="shared" ref="L9:S9" si="1">L8+L7</f>
        <v>0</v>
      </c>
      <c r="M9" s="201">
        <f t="shared" si="1"/>
        <v>0</v>
      </c>
      <c r="N9" s="201">
        <f t="shared" si="1"/>
        <v>375000</v>
      </c>
      <c r="O9" s="202">
        <f t="shared" si="1"/>
        <v>0</v>
      </c>
      <c r="P9" s="201">
        <f t="shared" si="1"/>
        <v>297000</v>
      </c>
      <c r="Q9" s="201">
        <f t="shared" si="1"/>
        <v>0</v>
      </c>
      <c r="R9" s="201">
        <f t="shared" si="1"/>
        <v>26000</v>
      </c>
      <c r="S9" s="201">
        <f t="shared" si="1"/>
        <v>0</v>
      </c>
      <c r="U9" s="201">
        <f>U8+U7</f>
        <v>52000</v>
      </c>
    </row>
    <row r="10" spans="1:21" hidden="1" x14ac:dyDescent="0.25">
      <c r="A10" s="10">
        <v>38870</v>
      </c>
      <c r="B10" s="11" t="s">
        <v>17</v>
      </c>
      <c r="L10" s="11">
        <f>(C2+1)*100</f>
        <v>14900</v>
      </c>
      <c r="N10" s="11">
        <f>-(C2+1)*100</f>
        <v>-14900</v>
      </c>
    </row>
    <row r="11" spans="1:21" hidden="1" x14ac:dyDescent="0.25">
      <c r="A11" s="10" t="s">
        <v>15</v>
      </c>
      <c r="L11" s="11">
        <f>L10+L7</f>
        <v>14900</v>
      </c>
      <c r="M11" s="11">
        <f>M10+M7</f>
        <v>0</v>
      </c>
      <c r="N11" s="11">
        <f>N10+N9</f>
        <v>360100</v>
      </c>
      <c r="O11" s="4">
        <f>O10+O7</f>
        <v>0</v>
      </c>
      <c r="P11" s="11">
        <f>P10+P7</f>
        <v>297000</v>
      </c>
      <c r="Q11" s="11">
        <f>Q10+Q7</f>
        <v>0</v>
      </c>
      <c r="R11" s="11">
        <f>R10+R7</f>
        <v>26000</v>
      </c>
      <c r="S11" s="11">
        <f>S10+S7</f>
        <v>0</v>
      </c>
      <c r="U11" s="201">
        <f>U10+U9</f>
        <v>52000</v>
      </c>
    </row>
    <row r="12" spans="1:21" hidden="1" x14ac:dyDescent="0.25">
      <c r="A12" s="10">
        <v>38870</v>
      </c>
      <c r="B12" s="11" t="s">
        <v>18</v>
      </c>
      <c r="M12" s="11">
        <f>(B2+1)*(C2+1)*20</f>
        <v>80460</v>
      </c>
      <c r="N12" s="11">
        <f>-(C2+1)*(B2+1)*20</f>
        <v>-80460</v>
      </c>
    </row>
    <row r="13" spans="1:21" hidden="1" x14ac:dyDescent="0.25">
      <c r="A13" t="s">
        <v>15</v>
      </c>
      <c r="L13" s="11">
        <f t="shared" ref="L13:S25" si="2">L12+L11</f>
        <v>14900</v>
      </c>
      <c r="M13" s="11">
        <f t="shared" si="2"/>
        <v>80460</v>
      </c>
      <c r="N13" s="11">
        <f t="shared" si="2"/>
        <v>279640</v>
      </c>
      <c r="O13" s="4">
        <f t="shared" si="2"/>
        <v>0</v>
      </c>
      <c r="P13" s="11">
        <f t="shared" si="2"/>
        <v>297000</v>
      </c>
      <c r="Q13" s="11">
        <f t="shared" si="2"/>
        <v>0</v>
      </c>
      <c r="R13" s="11">
        <f t="shared" si="2"/>
        <v>26000</v>
      </c>
      <c r="S13" s="11">
        <f t="shared" si="2"/>
        <v>0</v>
      </c>
      <c r="U13" s="201">
        <f>U12+U11</f>
        <v>52000</v>
      </c>
    </row>
    <row r="14" spans="1:21" hidden="1" x14ac:dyDescent="0.25">
      <c r="A14" s="10">
        <v>38873</v>
      </c>
      <c r="B14" s="11" t="s">
        <v>19</v>
      </c>
      <c r="M14" s="11">
        <f>(B2+1)*(C2+1)*40</f>
        <v>160920</v>
      </c>
      <c r="S14" s="11">
        <f>(B2+1)*(C2+1)*40</f>
        <v>160920</v>
      </c>
    </row>
    <row r="15" spans="1:21" hidden="1" x14ac:dyDescent="0.25">
      <c r="A15" t="s">
        <v>15</v>
      </c>
      <c r="L15" s="11">
        <f t="shared" si="2"/>
        <v>14900</v>
      </c>
      <c r="M15" s="11">
        <f t="shared" si="2"/>
        <v>241380</v>
      </c>
      <c r="N15" s="11">
        <f t="shared" si="2"/>
        <v>279640</v>
      </c>
      <c r="O15" s="4">
        <f t="shared" si="2"/>
        <v>0</v>
      </c>
      <c r="P15" s="11">
        <f t="shared" si="2"/>
        <v>297000</v>
      </c>
      <c r="Q15" s="11">
        <f t="shared" si="2"/>
        <v>0</v>
      </c>
      <c r="R15" s="11">
        <f t="shared" si="2"/>
        <v>26000</v>
      </c>
      <c r="S15" s="11">
        <f t="shared" si="2"/>
        <v>160920</v>
      </c>
      <c r="U15" s="201">
        <f>U14+U13</f>
        <v>52000</v>
      </c>
    </row>
    <row r="16" spans="1:21" hidden="1" x14ac:dyDescent="0.25">
      <c r="A16" s="10">
        <v>38874</v>
      </c>
      <c r="B16" s="11" t="s">
        <v>20</v>
      </c>
      <c r="N16" s="11">
        <v>-1000</v>
      </c>
      <c r="Q16" s="11">
        <v>-1000</v>
      </c>
    </row>
    <row r="17" spans="1:21" hidden="1" x14ac:dyDescent="0.25">
      <c r="A17" t="s">
        <v>15</v>
      </c>
      <c r="L17" s="11">
        <f t="shared" si="2"/>
        <v>14900</v>
      </c>
      <c r="M17" s="11">
        <f t="shared" si="2"/>
        <v>241380</v>
      </c>
      <c r="N17" s="11">
        <f t="shared" si="2"/>
        <v>278640</v>
      </c>
      <c r="O17" s="4">
        <f t="shared" si="2"/>
        <v>0</v>
      </c>
      <c r="P17" s="11">
        <f t="shared" si="2"/>
        <v>297000</v>
      </c>
      <c r="Q17" s="11">
        <f t="shared" si="2"/>
        <v>-1000</v>
      </c>
      <c r="R17" s="11">
        <f t="shared" si="2"/>
        <v>26000</v>
      </c>
      <c r="S17" s="11">
        <f t="shared" si="2"/>
        <v>160920</v>
      </c>
      <c r="U17" s="201">
        <f>U16+U15</f>
        <v>52000</v>
      </c>
    </row>
    <row r="18" spans="1:21" hidden="1" x14ac:dyDescent="0.25">
      <c r="A18" s="10">
        <v>38875</v>
      </c>
      <c r="B18" s="13" t="s">
        <v>21</v>
      </c>
    </row>
    <row r="19" spans="1:21" hidden="1" x14ac:dyDescent="0.25">
      <c r="A19" s="10" t="s">
        <v>15</v>
      </c>
      <c r="B19" s="13"/>
      <c r="L19" s="11">
        <f t="shared" si="2"/>
        <v>14900</v>
      </c>
      <c r="M19" s="11">
        <f t="shared" si="2"/>
        <v>241380</v>
      </c>
      <c r="N19" s="11">
        <f t="shared" si="2"/>
        <v>278640</v>
      </c>
      <c r="O19" s="4">
        <f t="shared" si="2"/>
        <v>0</v>
      </c>
      <c r="P19" s="11">
        <f t="shared" si="2"/>
        <v>297000</v>
      </c>
      <c r="Q19" s="11">
        <f t="shared" si="2"/>
        <v>-1000</v>
      </c>
      <c r="R19" s="11">
        <f t="shared" si="2"/>
        <v>26000</v>
      </c>
      <c r="S19" s="11">
        <f t="shared" si="2"/>
        <v>160920</v>
      </c>
      <c r="U19" s="201">
        <f>U18+U17</f>
        <v>52000</v>
      </c>
    </row>
    <row r="20" spans="1:21" hidden="1" x14ac:dyDescent="0.25">
      <c r="A20" s="10">
        <v>38875</v>
      </c>
      <c r="B20" s="13" t="s">
        <v>22</v>
      </c>
    </row>
    <row r="21" spans="1:21" hidden="1" x14ac:dyDescent="0.25">
      <c r="A21" s="10" t="s">
        <v>15</v>
      </c>
      <c r="B21" s="13"/>
      <c r="L21" s="11">
        <f t="shared" si="2"/>
        <v>14900</v>
      </c>
      <c r="M21" s="11">
        <f t="shared" si="2"/>
        <v>241380</v>
      </c>
      <c r="N21" s="11">
        <f t="shared" si="2"/>
        <v>278640</v>
      </c>
      <c r="O21" s="4">
        <f t="shared" si="2"/>
        <v>0</v>
      </c>
      <c r="P21" s="11">
        <f t="shared" si="2"/>
        <v>297000</v>
      </c>
      <c r="Q21" s="11">
        <f t="shared" si="2"/>
        <v>-1000</v>
      </c>
      <c r="R21" s="11">
        <f t="shared" si="2"/>
        <v>26000</v>
      </c>
      <c r="S21" s="11">
        <f t="shared" si="2"/>
        <v>160920</v>
      </c>
      <c r="U21" s="201">
        <f>U20+U19</f>
        <v>52000</v>
      </c>
    </row>
    <row r="22" spans="1:21" hidden="1" x14ac:dyDescent="0.25">
      <c r="A22" s="10">
        <v>42534</v>
      </c>
      <c r="B22" s="13" t="s">
        <v>23</v>
      </c>
    </row>
    <row r="23" spans="1:21" hidden="1" x14ac:dyDescent="0.25">
      <c r="A23" s="10" t="s">
        <v>15</v>
      </c>
      <c r="B23" s="10"/>
      <c r="L23" s="11">
        <f t="shared" si="2"/>
        <v>14900</v>
      </c>
      <c r="M23" s="11">
        <f t="shared" si="2"/>
        <v>241380</v>
      </c>
      <c r="N23" s="11">
        <f t="shared" si="2"/>
        <v>278640</v>
      </c>
      <c r="O23" s="4">
        <f t="shared" si="2"/>
        <v>0</v>
      </c>
      <c r="P23" s="11">
        <f t="shared" si="2"/>
        <v>297000</v>
      </c>
      <c r="Q23" s="11">
        <f t="shared" si="2"/>
        <v>-1000</v>
      </c>
      <c r="R23" s="11">
        <f t="shared" si="2"/>
        <v>26000</v>
      </c>
      <c r="S23" s="11">
        <f t="shared" si="2"/>
        <v>160920</v>
      </c>
      <c r="U23" s="201">
        <f>U22+U21</f>
        <v>52000</v>
      </c>
    </row>
    <row r="24" spans="1:21" hidden="1" x14ac:dyDescent="0.25">
      <c r="A24" s="10">
        <v>42540</v>
      </c>
      <c r="B24" s="13" t="s">
        <v>24</v>
      </c>
    </row>
    <row r="25" spans="1:21" hidden="1" x14ac:dyDescent="0.25">
      <c r="A25" s="10" t="s">
        <v>15</v>
      </c>
      <c r="B25" s="10"/>
      <c r="L25" s="11">
        <f t="shared" si="2"/>
        <v>14900</v>
      </c>
      <c r="M25" s="11">
        <f t="shared" si="2"/>
        <v>241380</v>
      </c>
      <c r="N25" s="11">
        <f t="shared" si="2"/>
        <v>278640</v>
      </c>
      <c r="O25" s="4">
        <f t="shared" si="2"/>
        <v>0</v>
      </c>
      <c r="P25" s="11">
        <f t="shared" si="2"/>
        <v>297000</v>
      </c>
      <c r="Q25" s="11">
        <f t="shared" si="2"/>
        <v>-1000</v>
      </c>
      <c r="R25" s="11">
        <f t="shared" si="2"/>
        <v>26000</v>
      </c>
      <c r="S25" s="11">
        <f t="shared" si="2"/>
        <v>160920</v>
      </c>
      <c r="U25" s="201">
        <f>U24+U23</f>
        <v>52000</v>
      </c>
    </row>
    <row r="26" spans="1:21" hidden="1" x14ac:dyDescent="0.25">
      <c r="A26" s="10">
        <v>38891</v>
      </c>
      <c r="B26" s="11" t="s">
        <v>25</v>
      </c>
    </row>
    <row r="27" spans="1:21" hidden="1" x14ac:dyDescent="0.25">
      <c r="A27" s="10" t="s">
        <v>15</v>
      </c>
      <c r="L27" s="11">
        <f t="shared" ref="L27:S27" si="3">L26+L25</f>
        <v>14900</v>
      </c>
      <c r="M27" s="11">
        <f t="shared" si="3"/>
        <v>241380</v>
      </c>
      <c r="N27" s="11">
        <f t="shared" si="3"/>
        <v>278640</v>
      </c>
      <c r="O27" s="4">
        <f t="shared" si="3"/>
        <v>0</v>
      </c>
      <c r="P27" s="11">
        <f t="shared" si="3"/>
        <v>297000</v>
      </c>
      <c r="Q27" s="11">
        <f t="shared" si="3"/>
        <v>-1000</v>
      </c>
      <c r="R27" s="11">
        <f t="shared" si="3"/>
        <v>26000</v>
      </c>
      <c r="S27" s="11">
        <f t="shared" si="3"/>
        <v>160920</v>
      </c>
      <c r="U27" s="201">
        <f>U26+U25</f>
        <v>52000</v>
      </c>
    </row>
    <row r="28" spans="1:21" hidden="1" x14ac:dyDescent="0.25">
      <c r="A28" s="10">
        <v>38892</v>
      </c>
      <c r="B28" s="11" t="s">
        <v>26</v>
      </c>
      <c r="M28" s="11">
        <f>-((B2+1)*(C2+1)*20*0.8)-((B2+1)*(C2+1)*0.9*40)</f>
        <v>-209196</v>
      </c>
      <c r="N28" s="11">
        <f>(0.8*(B2+1)*20*150)+(0.9*(C2+1)*40*100)</f>
        <v>601200</v>
      </c>
      <c r="Q28" s="11">
        <f>(0.8*(B2+1)*20*150)+(0.9*(C2+1)*40*100)-((0.8*(B2+1)*20*(C2+1))+((0.9*(B2+1)*(C2+1)*40)))</f>
        <v>392004</v>
      </c>
    </row>
    <row r="29" spans="1:21" hidden="1" x14ac:dyDescent="0.25">
      <c r="A29" t="s">
        <v>15</v>
      </c>
      <c r="L29" s="11">
        <f t="shared" ref="L29:S29" si="4">L28+L27</f>
        <v>14900</v>
      </c>
      <c r="M29" s="11">
        <f t="shared" si="4"/>
        <v>32184</v>
      </c>
      <c r="N29" s="11">
        <f t="shared" si="4"/>
        <v>879840</v>
      </c>
      <c r="O29" s="14">
        <f t="shared" si="4"/>
        <v>0</v>
      </c>
      <c r="P29" s="11">
        <f t="shared" si="4"/>
        <v>297000</v>
      </c>
      <c r="Q29" s="11">
        <f t="shared" si="4"/>
        <v>391004</v>
      </c>
      <c r="R29" s="11">
        <f t="shared" si="4"/>
        <v>26000</v>
      </c>
      <c r="S29" s="11">
        <f t="shared" si="4"/>
        <v>160920</v>
      </c>
      <c r="U29" s="201">
        <f>U28+U27</f>
        <v>52000</v>
      </c>
    </row>
    <row r="30" spans="1:21" hidden="1" x14ac:dyDescent="0.25">
      <c r="A30" s="10">
        <v>38893</v>
      </c>
      <c r="B30" s="11" t="s">
        <v>27</v>
      </c>
      <c r="M30" s="11">
        <f>-(B2+1)-(C2+1)</f>
        <v>-176</v>
      </c>
      <c r="N30" s="11"/>
      <c r="O30" s="14"/>
      <c r="P30" s="11">
        <f>-($B$2+1)-($C$2+1)</f>
        <v>-176</v>
      </c>
      <c r="Q30" s="11"/>
    </row>
    <row r="31" spans="1:21" hidden="1" x14ac:dyDescent="0.25">
      <c r="A31" t="s">
        <v>15</v>
      </c>
      <c r="L31" s="11">
        <f t="shared" ref="L31:S31" si="5">L30+L29</f>
        <v>14900</v>
      </c>
      <c r="M31" s="11">
        <f t="shared" si="5"/>
        <v>32008</v>
      </c>
      <c r="N31" s="11">
        <f t="shared" si="5"/>
        <v>879840</v>
      </c>
      <c r="O31" s="14">
        <f t="shared" si="5"/>
        <v>0</v>
      </c>
      <c r="P31" s="11">
        <f t="shared" si="5"/>
        <v>296824</v>
      </c>
      <c r="Q31" s="11">
        <f t="shared" si="5"/>
        <v>391004</v>
      </c>
      <c r="R31" s="11">
        <f t="shared" si="5"/>
        <v>26000</v>
      </c>
      <c r="S31" s="11">
        <f t="shared" si="5"/>
        <v>160920</v>
      </c>
      <c r="U31" s="201">
        <f>U30+U29</f>
        <v>52000</v>
      </c>
    </row>
    <row r="32" spans="1:21" hidden="1" x14ac:dyDescent="0.25">
      <c r="A32" s="10">
        <v>38898</v>
      </c>
      <c r="B32" s="13" t="s">
        <v>28</v>
      </c>
    </row>
    <row r="33" spans="1:21" hidden="1" x14ac:dyDescent="0.25">
      <c r="A33" s="10" t="s">
        <v>15</v>
      </c>
      <c r="L33" s="11">
        <f t="shared" ref="L33:S33" si="6">L32+L31</f>
        <v>14900</v>
      </c>
      <c r="M33" s="11">
        <f t="shared" si="6"/>
        <v>32008</v>
      </c>
      <c r="N33" s="11">
        <f t="shared" si="6"/>
        <v>879840</v>
      </c>
      <c r="O33" s="14">
        <f t="shared" si="6"/>
        <v>0</v>
      </c>
      <c r="P33" s="11">
        <f t="shared" si="6"/>
        <v>296824</v>
      </c>
      <c r="Q33" s="11">
        <f t="shared" si="6"/>
        <v>391004</v>
      </c>
      <c r="R33" s="11">
        <f t="shared" si="6"/>
        <v>26000</v>
      </c>
      <c r="S33" s="11">
        <f t="shared" si="6"/>
        <v>160920</v>
      </c>
      <c r="U33" s="201">
        <f>U32+U31</f>
        <v>52000</v>
      </c>
    </row>
    <row r="34" spans="1:21" hidden="1" x14ac:dyDescent="0.25">
      <c r="A34" s="10">
        <v>38898</v>
      </c>
      <c r="B34" s="11" t="s">
        <v>29</v>
      </c>
      <c r="L34" s="11"/>
      <c r="M34" s="11"/>
      <c r="N34" s="11">
        <f>-($B$2)*1000*0.12*1/12</f>
        <v>-260</v>
      </c>
      <c r="O34" s="14"/>
      <c r="P34" s="11"/>
      <c r="Q34" s="11">
        <f>-($B$2)*1000*0.12*1/12</f>
        <v>-260</v>
      </c>
      <c r="R34" s="11"/>
      <c r="S34" s="11"/>
    </row>
    <row r="35" spans="1:21" hidden="1" x14ac:dyDescent="0.25">
      <c r="A35" t="s">
        <v>15</v>
      </c>
      <c r="L35" s="11">
        <f t="shared" ref="L35:S35" si="7">L34+L33</f>
        <v>14900</v>
      </c>
      <c r="M35" s="11">
        <f t="shared" si="7"/>
        <v>32008</v>
      </c>
      <c r="N35" s="11">
        <f t="shared" si="7"/>
        <v>879580</v>
      </c>
      <c r="O35" s="14">
        <f t="shared" si="7"/>
        <v>0</v>
      </c>
      <c r="P35" s="11">
        <f t="shared" si="7"/>
        <v>296824</v>
      </c>
      <c r="Q35" s="11">
        <f t="shared" si="7"/>
        <v>390744</v>
      </c>
      <c r="R35" s="11">
        <f t="shared" si="7"/>
        <v>26000</v>
      </c>
      <c r="S35" s="11">
        <f t="shared" si="7"/>
        <v>160920</v>
      </c>
      <c r="U35" s="201">
        <f>U34+U33</f>
        <v>52000</v>
      </c>
    </row>
    <row r="36" spans="1:21" s="201" customFormat="1" hidden="1" x14ac:dyDescent="0.25">
      <c r="A36" s="200">
        <v>38898</v>
      </c>
      <c r="B36" s="201" t="s">
        <v>259</v>
      </c>
      <c r="N36" s="201">
        <f>-($B$2)*2000*0.01</f>
        <v>-520</v>
      </c>
      <c r="O36" s="202"/>
      <c r="Q36" s="201">
        <f>-($B$2)*2000*0.01</f>
        <v>-520</v>
      </c>
    </row>
    <row r="37" spans="1:21" s="201" customFormat="1" hidden="1" x14ac:dyDescent="0.25">
      <c r="A37" s="201" t="s">
        <v>15</v>
      </c>
      <c r="L37" s="201">
        <f t="shared" ref="L37:S37" si="8">L36+L35</f>
        <v>14900</v>
      </c>
      <c r="M37" s="201">
        <f t="shared" si="8"/>
        <v>32008</v>
      </c>
      <c r="N37" s="201">
        <f t="shared" si="8"/>
        <v>879060</v>
      </c>
      <c r="O37" s="202">
        <f t="shared" si="8"/>
        <v>0</v>
      </c>
      <c r="P37" s="201">
        <f t="shared" si="8"/>
        <v>296824</v>
      </c>
      <c r="Q37" s="201">
        <f t="shared" si="8"/>
        <v>390224</v>
      </c>
      <c r="R37" s="201">
        <f t="shared" si="8"/>
        <v>26000</v>
      </c>
      <c r="S37" s="201">
        <f t="shared" si="8"/>
        <v>160920</v>
      </c>
      <c r="U37" s="201">
        <f>U36+U35</f>
        <v>52000</v>
      </c>
    </row>
    <row r="38" spans="1:21" hidden="1" x14ac:dyDescent="0.25">
      <c r="A38" s="10">
        <v>38898</v>
      </c>
      <c r="B38" s="11" t="s">
        <v>30</v>
      </c>
      <c r="Q38" s="11">
        <v>-1000</v>
      </c>
      <c r="S38" s="11">
        <v>1000</v>
      </c>
    </row>
    <row r="39" spans="1:21" hidden="1" x14ac:dyDescent="0.25">
      <c r="A39" t="s">
        <v>15</v>
      </c>
      <c r="K39" s="11">
        <f t="shared" ref="K39:U39" si="9">K38+K37</f>
        <v>0</v>
      </c>
      <c r="L39" s="11">
        <f t="shared" si="9"/>
        <v>14900</v>
      </c>
      <c r="M39" s="11">
        <f t="shared" si="9"/>
        <v>32008</v>
      </c>
      <c r="N39" s="11">
        <f t="shared" si="9"/>
        <v>879060</v>
      </c>
      <c r="O39" s="11">
        <f t="shared" si="9"/>
        <v>0</v>
      </c>
      <c r="P39" s="11">
        <f t="shared" si="9"/>
        <v>296824</v>
      </c>
      <c r="Q39" s="11">
        <f t="shared" si="9"/>
        <v>389224</v>
      </c>
      <c r="R39" s="11">
        <f t="shared" si="9"/>
        <v>26000</v>
      </c>
      <c r="S39" s="11">
        <f t="shared" si="9"/>
        <v>161920</v>
      </c>
      <c r="T39" s="11">
        <f t="shared" si="9"/>
        <v>0</v>
      </c>
      <c r="U39" s="201">
        <f t="shared" si="9"/>
        <v>52000</v>
      </c>
    </row>
    <row r="40" spans="1:21" hidden="1" x14ac:dyDescent="0.25">
      <c r="A40" s="10">
        <v>38898</v>
      </c>
      <c r="B40" s="11" t="s">
        <v>31</v>
      </c>
      <c r="K40" s="11">
        <f>+($B$2+1)*1000</f>
        <v>27000</v>
      </c>
      <c r="L40" s="11"/>
      <c r="M40" s="11"/>
      <c r="N40" s="11"/>
      <c r="O40" s="14"/>
      <c r="P40" s="11"/>
      <c r="Q40" s="11"/>
      <c r="R40" s="11"/>
      <c r="S40" s="11">
        <f>+($B$2+1)*1000</f>
        <v>27000</v>
      </c>
    </row>
    <row r="41" spans="1:21" hidden="1" x14ac:dyDescent="0.25">
      <c r="A41" t="s">
        <v>15</v>
      </c>
      <c r="K41" s="11">
        <f t="shared" ref="K41:S41" si="10">K40+K39</f>
        <v>27000</v>
      </c>
      <c r="L41" s="11">
        <f t="shared" si="10"/>
        <v>14900</v>
      </c>
      <c r="M41" s="11">
        <f t="shared" si="10"/>
        <v>32008</v>
      </c>
      <c r="N41" s="11">
        <f t="shared" si="10"/>
        <v>879060</v>
      </c>
      <c r="O41" s="14">
        <f t="shared" si="10"/>
        <v>0</v>
      </c>
      <c r="P41" s="11">
        <f t="shared" si="10"/>
        <v>296824</v>
      </c>
      <c r="Q41" s="11">
        <f t="shared" si="10"/>
        <v>389224</v>
      </c>
      <c r="R41" s="11">
        <f t="shared" si="10"/>
        <v>26000</v>
      </c>
      <c r="S41" s="11">
        <f t="shared" si="10"/>
        <v>188920</v>
      </c>
      <c r="U41" s="201">
        <f>U40+U39</f>
        <v>52000</v>
      </c>
    </row>
    <row r="42" spans="1:21" s="201" customFormat="1" hidden="1" x14ac:dyDescent="0.25">
      <c r="A42" s="200">
        <v>38898</v>
      </c>
      <c r="B42" s="201" t="s">
        <v>260</v>
      </c>
      <c r="N42" s="201">
        <f>-($B$2*100)*2</f>
        <v>-5200</v>
      </c>
      <c r="O42" s="202"/>
      <c r="R42" s="201">
        <f>-($B$2*100)</f>
        <v>-2600</v>
      </c>
      <c r="U42" s="201">
        <f>-($B$2*100)</f>
        <v>-2600</v>
      </c>
    </row>
    <row r="43" spans="1:21" s="201" customFormat="1" hidden="1" x14ac:dyDescent="0.25">
      <c r="A43" s="201" t="s">
        <v>15</v>
      </c>
      <c r="K43" s="201">
        <f t="shared" ref="K43:U45" si="11">K42+K41</f>
        <v>27000</v>
      </c>
      <c r="L43" s="201">
        <f t="shared" si="11"/>
        <v>14900</v>
      </c>
      <c r="M43" s="201">
        <f t="shared" si="11"/>
        <v>32008</v>
      </c>
      <c r="N43" s="201">
        <f t="shared" si="11"/>
        <v>873860</v>
      </c>
      <c r="O43" s="202">
        <f t="shared" si="11"/>
        <v>0</v>
      </c>
      <c r="P43" s="201">
        <f t="shared" si="11"/>
        <v>296824</v>
      </c>
      <c r="Q43" s="201">
        <f t="shared" si="11"/>
        <v>389224</v>
      </c>
      <c r="R43" s="201">
        <f t="shared" si="11"/>
        <v>23400</v>
      </c>
      <c r="S43" s="201">
        <f t="shared" si="11"/>
        <v>188920</v>
      </c>
      <c r="U43" s="201">
        <f>U42+U41</f>
        <v>49400</v>
      </c>
    </row>
    <row r="44" spans="1:21" s="201" customFormat="1" hidden="1" x14ac:dyDescent="0.25">
      <c r="A44" s="200">
        <v>38898</v>
      </c>
      <c r="B44" s="201" t="s">
        <v>275</v>
      </c>
      <c r="K44" s="201">
        <f>-K43*0.02</f>
        <v>-540</v>
      </c>
      <c r="O44" s="202"/>
      <c r="Q44" s="201">
        <f>-K43*0.02</f>
        <v>-540</v>
      </c>
    </row>
    <row r="45" spans="1:21" s="201" customFormat="1" hidden="1" x14ac:dyDescent="0.25">
      <c r="A45" s="201" t="s">
        <v>15</v>
      </c>
      <c r="K45" s="201">
        <f t="shared" si="11"/>
        <v>26460</v>
      </c>
      <c r="L45" s="201">
        <f t="shared" si="11"/>
        <v>14900</v>
      </c>
      <c r="M45" s="201">
        <f t="shared" si="11"/>
        <v>32008</v>
      </c>
      <c r="N45" s="201">
        <f t="shared" si="11"/>
        <v>873860</v>
      </c>
      <c r="O45" s="201">
        <f t="shared" si="11"/>
        <v>0</v>
      </c>
      <c r="P45" s="201">
        <f t="shared" si="11"/>
        <v>296824</v>
      </c>
      <c r="Q45" s="201">
        <f t="shared" si="11"/>
        <v>388684</v>
      </c>
      <c r="R45" s="201">
        <f t="shared" si="11"/>
        <v>23400</v>
      </c>
      <c r="S45" s="201">
        <f t="shared" si="11"/>
        <v>188920</v>
      </c>
      <c r="T45" s="201">
        <f t="shared" si="11"/>
        <v>0</v>
      </c>
      <c r="U45" s="201">
        <f t="shared" si="11"/>
        <v>49400</v>
      </c>
    </row>
    <row r="46" spans="1:21" hidden="1" x14ac:dyDescent="0.25">
      <c r="A46" s="10">
        <v>38898</v>
      </c>
      <c r="B46" t="s">
        <v>32</v>
      </c>
      <c r="L46">
        <f>-(C2+1)*29</f>
        <v>-4321</v>
      </c>
      <c r="Q46">
        <f>-(C2+1)*29</f>
        <v>-4321</v>
      </c>
    </row>
    <row r="47" spans="1:21" hidden="1" x14ac:dyDescent="0.25">
      <c r="A47" t="s">
        <v>15</v>
      </c>
      <c r="K47" s="11">
        <f>K46+K45</f>
        <v>26460</v>
      </c>
      <c r="L47" s="11">
        <f>L46+L45</f>
        <v>10579</v>
      </c>
      <c r="M47" s="11">
        <f>M46+M45</f>
        <v>32008</v>
      </c>
      <c r="N47" s="11">
        <f>N46+N45</f>
        <v>873860</v>
      </c>
      <c r="O47" s="11">
        <f t="shared" ref="O47:U47" si="12">O46+O45</f>
        <v>0</v>
      </c>
      <c r="P47" s="11">
        <f t="shared" si="12"/>
        <v>296824</v>
      </c>
      <c r="Q47" s="11">
        <f t="shared" si="12"/>
        <v>384363</v>
      </c>
      <c r="R47" s="11">
        <f t="shared" si="12"/>
        <v>23400</v>
      </c>
      <c r="S47" s="11">
        <f t="shared" si="12"/>
        <v>188920</v>
      </c>
      <c r="T47" s="11">
        <f t="shared" si="12"/>
        <v>0</v>
      </c>
      <c r="U47" s="11">
        <f t="shared" si="12"/>
        <v>49400</v>
      </c>
    </row>
    <row r="48" spans="1:21" hidden="1" x14ac:dyDescent="0.25">
      <c r="A48" s="10">
        <v>38898</v>
      </c>
      <c r="B48" t="s">
        <v>33</v>
      </c>
      <c r="K48" s="11"/>
      <c r="L48" s="11"/>
      <c r="M48" s="11"/>
      <c r="N48" s="11"/>
      <c r="O48" s="14"/>
      <c r="P48" s="11"/>
      <c r="Q48" s="11">
        <f>-Q47*0.4</f>
        <v>-153745.20000000001</v>
      </c>
      <c r="R48" s="11"/>
      <c r="S48" s="11"/>
      <c r="T48">
        <f>+Q47*0.4</f>
        <v>153745.20000000001</v>
      </c>
    </row>
    <row r="49" spans="1:21" hidden="1" x14ac:dyDescent="0.25">
      <c r="A49" t="s">
        <v>15</v>
      </c>
      <c r="K49" s="11">
        <f t="shared" ref="K49:T49" si="13">K48+K47</f>
        <v>26460</v>
      </c>
      <c r="L49" s="11">
        <f t="shared" si="13"/>
        <v>10579</v>
      </c>
      <c r="M49" s="11">
        <f t="shared" si="13"/>
        <v>32008</v>
      </c>
      <c r="N49" s="11">
        <f t="shared" si="13"/>
        <v>873860</v>
      </c>
      <c r="O49" s="14">
        <f t="shared" si="13"/>
        <v>0</v>
      </c>
      <c r="P49" s="11">
        <f t="shared" si="13"/>
        <v>296824</v>
      </c>
      <c r="Q49" s="11">
        <f t="shared" si="13"/>
        <v>230617.8</v>
      </c>
      <c r="R49" s="11">
        <f t="shared" si="13"/>
        <v>23400</v>
      </c>
      <c r="S49" s="11">
        <f t="shared" si="13"/>
        <v>188920</v>
      </c>
      <c r="T49" s="11">
        <f t="shared" si="13"/>
        <v>153745.20000000001</v>
      </c>
      <c r="U49" s="201">
        <f>U48+U47</f>
        <v>49400</v>
      </c>
    </row>
    <row r="51" spans="1:21" ht="20.25" x14ac:dyDescent="0.3">
      <c r="A51" s="15" t="s">
        <v>34</v>
      </c>
    </row>
    <row r="52" spans="1:21" x14ac:dyDescent="0.25">
      <c r="A52" s="16" t="s">
        <v>35</v>
      </c>
      <c r="B52" s="17" t="s">
        <v>36</v>
      </c>
      <c r="C52" s="17" t="s">
        <v>37</v>
      </c>
      <c r="D52" s="17" t="s">
        <v>36</v>
      </c>
    </row>
    <row r="53" spans="1:21" x14ac:dyDescent="0.25">
      <c r="A53" s="18" t="s">
        <v>8</v>
      </c>
      <c r="B53" s="19">
        <f>+N49</f>
        <v>873860</v>
      </c>
      <c r="C53" s="20" t="s">
        <v>12</v>
      </c>
      <c r="D53" s="19">
        <f>+S49</f>
        <v>188920</v>
      </c>
    </row>
    <row r="54" spans="1:21" x14ac:dyDescent="0.25">
      <c r="A54" s="21" t="s">
        <v>7</v>
      </c>
      <c r="B54" s="22">
        <f>+M49</f>
        <v>32008</v>
      </c>
      <c r="C54" s="23" t="s">
        <v>38</v>
      </c>
      <c r="D54" s="22">
        <f>+R49+U49</f>
        <v>72800</v>
      </c>
    </row>
    <row r="55" spans="1:21" x14ac:dyDescent="0.25">
      <c r="A55" s="24" t="s">
        <v>39</v>
      </c>
      <c r="B55" s="22">
        <f>+L49</f>
        <v>10579</v>
      </c>
      <c r="C55" s="23" t="s">
        <v>40</v>
      </c>
      <c r="D55" s="22">
        <f>+T49</f>
        <v>153745.20000000001</v>
      </c>
    </row>
    <row r="56" spans="1:21" x14ac:dyDescent="0.25">
      <c r="A56" s="25" t="s">
        <v>41</v>
      </c>
      <c r="B56" s="26">
        <f>SUM(B53:B55)</f>
        <v>916447</v>
      </c>
      <c r="C56" s="27" t="s">
        <v>42</v>
      </c>
      <c r="D56" s="26">
        <f>SUM(D53:D55)</f>
        <v>415465.2</v>
      </c>
    </row>
    <row r="57" spans="1:21" s="8" customFormat="1" ht="12.75" x14ac:dyDescent="0.2">
      <c r="A57" s="25"/>
      <c r="B57" s="28"/>
      <c r="C57" s="29" t="s">
        <v>9</v>
      </c>
      <c r="D57" s="30">
        <f>+P49</f>
        <v>296824</v>
      </c>
      <c r="O57" s="9"/>
    </row>
    <row r="58" spans="1:21" x14ac:dyDescent="0.25">
      <c r="A58" s="21" t="s">
        <v>5</v>
      </c>
      <c r="B58" s="22">
        <f>+K49</f>
        <v>26460</v>
      </c>
      <c r="C58" s="23" t="s">
        <v>10</v>
      </c>
      <c r="D58" s="22">
        <f>+Q49</f>
        <v>230617.8</v>
      </c>
    </row>
    <row r="59" spans="1:21" s="8" customFormat="1" ht="12.75" x14ac:dyDescent="0.2">
      <c r="A59" s="25" t="s">
        <v>43</v>
      </c>
      <c r="B59" s="26">
        <f>B58</f>
        <v>26460</v>
      </c>
      <c r="C59" s="27" t="s">
        <v>44</v>
      </c>
      <c r="D59" s="26">
        <f>SUM(D57:D58)</f>
        <v>527441.80000000005</v>
      </c>
      <c r="O59" s="9"/>
    </row>
    <row r="60" spans="1:21" s="34" customFormat="1" ht="16.5" thickBot="1" x14ac:dyDescent="0.3">
      <c r="A60" s="31" t="s">
        <v>45</v>
      </c>
      <c r="B60" s="32">
        <f>SUM(B59+B56)</f>
        <v>942907</v>
      </c>
      <c r="C60" s="33" t="s">
        <v>46</v>
      </c>
      <c r="D60" s="32">
        <f>D59+D56</f>
        <v>942907</v>
      </c>
      <c r="O60" s="35"/>
    </row>
    <row r="61" spans="1:21" ht="15.75" thickTop="1" x14ac:dyDescent="0.25">
      <c r="D61" s="36"/>
    </row>
    <row r="62" spans="1:21" x14ac:dyDescent="0.25">
      <c r="D62" s="36"/>
    </row>
    <row r="63" spans="1:21" ht="15.75" thickBot="1" x14ac:dyDescent="0.3"/>
    <row r="64" spans="1:21" x14ac:dyDescent="0.25">
      <c r="A64" s="224" t="s">
        <v>261</v>
      </c>
      <c r="B64" s="225"/>
    </row>
    <row r="65" spans="1:2" x14ac:dyDescent="0.25">
      <c r="A65" s="226" t="s">
        <v>262</v>
      </c>
      <c r="B65" s="227">
        <f>+D55</f>
        <v>153745.20000000001</v>
      </c>
    </row>
    <row r="66" spans="1:2" x14ac:dyDescent="0.25">
      <c r="A66" s="226" t="s">
        <v>263</v>
      </c>
      <c r="B66" s="227">
        <f>+B53</f>
        <v>873860</v>
      </c>
    </row>
    <row r="67" spans="1:2" x14ac:dyDescent="0.25">
      <c r="A67" s="226" t="s">
        <v>264</v>
      </c>
      <c r="B67" s="228">
        <f>+Q34+Q36</f>
        <v>-780</v>
      </c>
    </row>
    <row r="68" spans="1:2" ht="15.75" thickBot="1" x14ac:dyDescent="0.3">
      <c r="A68" s="229" t="s">
        <v>265</v>
      </c>
      <c r="B68" s="230">
        <f>+D54</f>
        <v>72800</v>
      </c>
    </row>
    <row r="69" spans="1:2" ht="15.75" thickBot="1" x14ac:dyDescent="0.3">
      <c r="A69" s="235" t="s">
        <v>277</v>
      </c>
      <c r="B69" s="236">
        <f>+D58</f>
        <v>230617.8</v>
      </c>
    </row>
    <row r="72" spans="1:2" x14ac:dyDescent="0.25">
      <c r="A72" s="37" t="s">
        <v>291</v>
      </c>
    </row>
    <row r="73" spans="1:2" x14ac:dyDescent="0.25">
      <c r="A73" s="37" t="s">
        <v>284</v>
      </c>
    </row>
  </sheetData>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0"/>
  <sheetViews>
    <sheetView workbookViewId="0">
      <selection activeCell="B2" sqref="B2"/>
    </sheetView>
  </sheetViews>
  <sheetFormatPr defaultRowHeight="15" x14ac:dyDescent="0.25"/>
  <cols>
    <col min="1" max="1" width="35.28515625" customWidth="1"/>
    <col min="2" max="2" width="14.140625" style="42" customWidth="1"/>
    <col min="3" max="3" width="41.28515625" bestFit="1" customWidth="1"/>
    <col min="4" max="4" width="15.28515625" style="44" bestFit="1" customWidth="1"/>
    <col min="8" max="9" width="15.28515625" style="38" bestFit="1" customWidth="1"/>
    <col min="10" max="10" width="10" bestFit="1" customWidth="1"/>
  </cols>
  <sheetData>
    <row r="2" spans="1:9" x14ac:dyDescent="0.25">
      <c r="A2" s="40" t="s">
        <v>47</v>
      </c>
      <c r="B2" s="45">
        <f>+S1Q1!D2</f>
        <v>26111992</v>
      </c>
    </row>
    <row r="3" spans="1:9" x14ac:dyDescent="0.25">
      <c r="B3" s="41"/>
    </row>
    <row r="4" spans="1:9" x14ac:dyDescent="0.25">
      <c r="B4" s="41"/>
    </row>
    <row r="5" spans="1:9" x14ac:dyDescent="0.25">
      <c r="A5" s="37" t="s">
        <v>35</v>
      </c>
      <c r="B5" s="43"/>
      <c r="C5" s="37" t="s">
        <v>58</v>
      </c>
    </row>
    <row r="6" spans="1:9" ht="15.75" thickBot="1" x14ac:dyDescent="0.3">
      <c r="A6" s="37" t="s">
        <v>48</v>
      </c>
      <c r="B6" s="46"/>
      <c r="C6" s="37" t="s">
        <v>59</v>
      </c>
    </row>
    <row r="7" spans="1:9" x14ac:dyDescent="0.25">
      <c r="A7" s="1" t="s">
        <v>8</v>
      </c>
      <c r="B7" s="52">
        <f>B2/2</f>
        <v>13055996</v>
      </c>
      <c r="C7" s="53"/>
      <c r="D7" s="54"/>
    </row>
    <row r="8" spans="1:9" x14ac:dyDescent="0.25">
      <c r="A8" s="55" t="s">
        <v>49</v>
      </c>
      <c r="B8" s="49">
        <f>+B2</f>
        <v>26111992</v>
      </c>
      <c r="C8" s="48" t="s">
        <v>59</v>
      </c>
      <c r="D8" s="56">
        <f>+B10*0.5</f>
        <v>20889593.600000001</v>
      </c>
    </row>
    <row r="9" spans="1:9" x14ac:dyDescent="0.25">
      <c r="A9" s="55" t="s">
        <v>50</v>
      </c>
      <c r="B9" s="49">
        <f>+B2/10</f>
        <v>2611199.2000000002</v>
      </c>
      <c r="C9" s="50" t="s">
        <v>60</v>
      </c>
      <c r="D9" s="57">
        <f>+D8</f>
        <v>20889593.600000001</v>
      </c>
    </row>
    <row r="10" spans="1:9" x14ac:dyDescent="0.25">
      <c r="A10" s="58" t="s">
        <v>51</v>
      </c>
      <c r="B10" s="51">
        <f>SUM(B7:B9)</f>
        <v>41779187.200000003</v>
      </c>
      <c r="C10" s="48"/>
      <c r="D10" s="59"/>
    </row>
    <row r="11" spans="1:9" x14ac:dyDescent="0.25">
      <c r="A11" s="55" t="s">
        <v>5</v>
      </c>
      <c r="B11" s="49">
        <f>+B10*2</f>
        <v>83558374.400000006</v>
      </c>
      <c r="C11" s="48" t="s">
        <v>61</v>
      </c>
      <c r="D11" s="56">
        <f>+B12+B17</f>
        <v>402124676.80000007</v>
      </c>
    </row>
    <row r="12" spans="1:9" x14ac:dyDescent="0.25">
      <c r="A12" s="58" t="s">
        <v>52</v>
      </c>
      <c r="B12" s="51">
        <f>+B11</f>
        <v>83558374.400000006</v>
      </c>
      <c r="C12" s="50" t="s">
        <v>62</v>
      </c>
      <c r="D12" s="57">
        <f>+D11</f>
        <v>402124676.80000007</v>
      </c>
      <c r="H12" s="39"/>
      <c r="I12" s="39"/>
    </row>
    <row r="13" spans="1:9" x14ac:dyDescent="0.25">
      <c r="A13" s="55" t="s">
        <v>53</v>
      </c>
      <c r="B13" s="49"/>
      <c r="C13" s="48"/>
      <c r="D13" s="56"/>
    </row>
    <row r="14" spans="1:9" x14ac:dyDescent="0.25">
      <c r="A14" s="55" t="s">
        <v>54</v>
      </c>
      <c r="B14" s="49">
        <f>+B2/2</f>
        <v>13055996</v>
      </c>
      <c r="C14" s="48" t="s">
        <v>63</v>
      </c>
      <c r="D14" s="56"/>
      <c r="H14" s="39"/>
      <c r="I14" s="39"/>
    </row>
    <row r="15" spans="1:9" x14ac:dyDescent="0.25">
      <c r="A15" s="55" t="s">
        <v>55</v>
      </c>
      <c r="B15" s="49">
        <f>+B11</f>
        <v>83558374.400000006</v>
      </c>
      <c r="C15" s="48" t="s">
        <v>64</v>
      </c>
      <c r="D15" s="56">
        <f>+B2</f>
        <v>26111992</v>
      </c>
    </row>
    <row r="16" spans="1:9" x14ac:dyDescent="0.25">
      <c r="A16" s="55" t="s">
        <v>56</v>
      </c>
      <c r="B16" s="49">
        <f>+B12+B10+B14+B15</f>
        <v>221951932.00000003</v>
      </c>
      <c r="C16" s="48" t="s">
        <v>65</v>
      </c>
      <c r="D16" s="56">
        <f>+D19-D9-D12-D15</f>
        <v>-5222398.4000000358</v>
      </c>
    </row>
    <row r="17" spans="1:10" x14ac:dyDescent="0.25">
      <c r="A17" s="58" t="s">
        <v>57</v>
      </c>
      <c r="B17" s="51">
        <f>SUM(B14:B16)</f>
        <v>318566302.40000004</v>
      </c>
      <c r="C17" s="48" t="s">
        <v>66</v>
      </c>
      <c r="D17" s="56"/>
    </row>
    <row r="18" spans="1:10" x14ac:dyDescent="0.25">
      <c r="A18" s="55"/>
      <c r="B18" s="49"/>
      <c r="C18" s="48" t="s">
        <v>67</v>
      </c>
      <c r="D18" s="57">
        <f>SUM(D15:D17)</f>
        <v>20889593.599999964</v>
      </c>
    </row>
    <row r="19" spans="1:10" ht="15.75" thickBot="1" x14ac:dyDescent="0.3">
      <c r="A19" s="60" t="s">
        <v>45</v>
      </c>
      <c r="B19" s="61">
        <f>+B10+B12+B17</f>
        <v>443903864.00000006</v>
      </c>
      <c r="C19" s="62" t="s">
        <v>68</v>
      </c>
      <c r="D19" s="63">
        <f>+B19</f>
        <v>443903864.00000006</v>
      </c>
    </row>
    <row r="20" spans="1:10" x14ac:dyDescent="0.25">
      <c r="H20" s="39"/>
      <c r="I20" s="39"/>
    </row>
    <row r="21" spans="1:10" ht="15.75" thickBot="1" x14ac:dyDescent="0.3">
      <c r="H21" s="39"/>
      <c r="I21" s="39"/>
    </row>
    <row r="22" spans="1:10" x14ac:dyDescent="0.25">
      <c r="A22" s="231" t="s">
        <v>266</v>
      </c>
      <c r="B22" s="232"/>
    </row>
    <row r="23" spans="1:10" x14ac:dyDescent="0.25">
      <c r="A23" s="226" t="s">
        <v>267</v>
      </c>
      <c r="B23" s="233">
        <f>+B19</f>
        <v>443903864.00000006</v>
      </c>
      <c r="H23" s="39"/>
      <c r="I23" s="39"/>
    </row>
    <row r="24" spans="1:10" ht="15.75" thickBot="1" x14ac:dyDescent="0.3">
      <c r="A24" s="229" t="s">
        <v>268</v>
      </c>
      <c r="B24" s="234">
        <f>+D18</f>
        <v>20889593.599999964</v>
      </c>
    </row>
    <row r="25" spans="1:10" ht="15.75" thickBot="1" x14ac:dyDescent="0.3">
      <c r="A25" s="209" t="s">
        <v>276</v>
      </c>
      <c r="B25" s="217">
        <f>+B16</f>
        <v>221951932.00000003</v>
      </c>
    </row>
    <row r="30" spans="1:10" x14ac:dyDescent="0.25">
      <c r="J30">
        <f>8.5*12121995</f>
        <v>103036957.5</v>
      </c>
    </row>
  </sheetData>
  <pageMargins left="0.7" right="0.7"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3"/>
  <sheetViews>
    <sheetView tabSelected="1" zoomScale="60" zoomScaleNormal="60" workbookViewId="0">
      <selection activeCell="G41" sqref="G41:J41"/>
    </sheetView>
  </sheetViews>
  <sheetFormatPr defaultRowHeight="15" x14ac:dyDescent="0.25"/>
  <cols>
    <col min="1" max="1" width="25.7109375" style="64" customWidth="1"/>
    <col min="2" max="2" width="7" style="64" customWidth="1"/>
    <col min="3" max="3" width="8.140625" style="64" customWidth="1"/>
    <col min="4" max="4" width="26.28515625" style="64" customWidth="1"/>
    <col min="5" max="5" width="8" style="64" customWidth="1"/>
    <col min="6" max="6" width="5.5703125" style="64" customWidth="1"/>
    <col min="7" max="7" width="26" style="64" customWidth="1"/>
    <col min="8" max="8" width="7.7109375" style="64" customWidth="1"/>
    <col min="9" max="9" width="9.140625" style="64"/>
    <col min="10" max="10" width="31.140625" style="64" customWidth="1"/>
    <col min="11" max="11" width="8.7109375" style="64" customWidth="1"/>
    <col min="12" max="16384" width="9.140625" style="64"/>
  </cols>
  <sheetData>
    <row r="1" spans="1:10" x14ac:dyDescent="0.25">
      <c r="A1" s="247" t="s">
        <v>69</v>
      </c>
      <c r="B1" s="247"/>
      <c r="C1" s="247"/>
      <c r="D1" s="247"/>
      <c r="E1" s="248"/>
      <c r="G1" s="249" t="s">
        <v>69</v>
      </c>
      <c r="H1" s="249"/>
      <c r="I1" s="249"/>
    </row>
    <row r="2" spans="1:10" ht="15.75" thickBot="1" x14ac:dyDescent="0.3">
      <c r="A2" s="250" t="s">
        <v>70</v>
      </c>
      <c r="B2" s="250"/>
      <c r="C2" s="250"/>
      <c r="D2" s="250"/>
      <c r="E2" s="251"/>
      <c r="G2" s="65" t="s">
        <v>71</v>
      </c>
      <c r="H2" s="66"/>
      <c r="I2" s="66"/>
    </row>
    <row r="3" spans="1:10" ht="15.75" thickBot="1" x14ac:dyDescent="0.3">
      <c r="A3" s="67"/>
      <c r="B3" s="68"/>
      <c r="C3" s="69" t="s">
        <v>72</v>
      </c>
      <c r="D3" s="68"/>
      <c r="E3" s="69" t="s">
        <v>73</v>
      </c>
      <c r="G3" s="70"/>
      <c r="H3" s="71"/>
      <c r="I3" s="71"/>
    </row>
    <row r="4" spans="1:10" x14ac:dyDescent="0.25">
      <c r="A4" s="72" t="s">
        <v>35</v>
      </c>
      <c r="B4" s="73"/>
      <c r="C4" s="74"/>
      <c r="D4" s="73" t="s">
        <v>74</v>
      </c>
      <c r="E4" s="74"/>
      <c r="G4" s="75" t="s">
        <v>75</v>
      </c>
      <c r="H4" s="76"/>
      <c r="I4" s="77"/>
      <c r="J4" s="78" t="s">
        <v>76</v>
      </c>
    </row>
    <row r="5" spans="1:10" x14ac:dyDescent="0.25">
      <c r="A5" s="79" t="s">
        <v>77</v>
      </c>
      <c r="B5" s="80"/>
      <c r="C5" s="81">
        <v>500</v>
      </c>
      <c r="D5" s="79" t="s">
        <v>78</v>
      </c>
      <c r="E5" s="82">
        <v>1500</v>
      </c>
      <c r="G5" s="83" t="s">
        <v>79</v>
      </c>
      <c r="H5" s="84"/>
      <c r="I5" s="85">
        <f>SUM(I6:I9)</f>
        <v>21215</v>
      </c>
      <c r="J5" s="64" t="s">
        <v>80</v>
      </c>
    </row>
    <row r="6" spans="1:10" x14ac:dyDescent="0.25">
      <c r="A6" s="79" t="s">
        <v>81</v>
      </c>
      <c r="B6" s="80"/>
      <c r="C6" s="81">
        <v>3000</v>
      </c>
      <c r="D6" s="79" t="s">
        <v>82</v>
      </c>
      <c r="E6" s="82">
        <v>3500</v>
      </c>
      <c r="G6" s="79" t="s">
        <v>83</v>
      </c>
      <c r="H6" s="80"/>
      <c r="I6" s="82">
        <f>I9*0.3/0.5</f>
        <v>6364.5</v>
      </c>
      <c r="J6" s="64" t="s">
        <v>84</v>
      </c>
    </row>
    <row r="7" spans="1:10" x14ac:dyDescent="0.25">
      <c r="A7" s="79" t="s">
        <v>85</v>
      </c>
      <c r="B7" s="80"/>
      <c r="C7" s="81">
        <v>3880</v>
      </c>
      <c r="D7" s="83" t="s">
        <v>86</v>
      </c>
      <c r="E7" s="85">
        <f>SUM(E5:E6)</f>
        <v>5000</v>
      </c>
      <c r="G7" s="79" t="s">
        <v>87</v>
      </c>
      <c r="H7" s="80"/>
      <c r="I7" s="82">
        <f>I9*0.1/0.5</f>
        <v>2121.5</v>
      </c>
      <c r="J7" s="64" t="s">
        <v>88</v>
      </c>
    </row>
    <row r="8" spans="1:10" x14ac:dyDescent="0.25">
      <c r="A8" s="79" t="s">
        <v>89</v>
      </c>
      <c r="B8" s="80"/>
      <c r="C8" s="86">
        <v>1000</v>
      </c>
      <c r="D8" s="79"/>
      <c r="E8" s="87"/>
      <c r="G8" s="79" t="s">
        <v>90</v>
      </c>
      <c r="H8" s="80"/>
      <c r="I8" s="82">
        <f>I9*0.1/0.5</f>
        <v>2121.5</v>
      </c>
      <c r="J8" s="64" t="s">
        <v>88</v>
      </c>
    </row>
    <row r="9" spans="1:10" x14ac:dyDescent="0.25">
      <c r="A9" s="79" t="s">
        <v>91</v>
      </c>
      <c r="B9" s="80"/>
      <c r="C9" s="86">
        <v>120</v>
      </c>
      <c r="D9" s="79"/>
      <c r="E9" s="87"/>
      <c r="G9" s="83" t="s">
        <v>92</v>
      </c>
      <c r="H9" s="84"/>
      <c r="I9" s="85">
        <f>I10+I11+I12</f>
        <v>10607.5</v>
      </c>
      <c r="J9" s="64" t="s">
        <v>93</v>
      </c>
    </row>
    <row r="10" spans="1:10" x14ac:dyDescent="0.25">
      <c r="A10" s="83" t="s">
        <v>48</v>
      </c>
      <c r="B10" s="84"/>
      <c r="C10" s="88">
        <f>SUM(C5:C9)</f>
        <v>8500</v>
      </c>
      <c r="D10" s="79"/>
      <c r="E10" s="87"/>
      <c r="G10" s="79" t="s">
        <v>94</v>
      </c>
      <c r="H10" s="80"/>
      <c r="I10" s="82">
        <f>2500+1800</f>
        <v>4300</v>
      </c>
      <c r="J10" s="64" t="s">
        <v>95</v>
      </c>
    </row>
    <row r="11" spans="1:10" x14ac:dyDescent="0.25">
      <c r="A11" s="79"/>
      <c r="B11" s="80"/>
      <c r="C11" s="89"/>
      <c r="D11" s="79"/>
      <c r="E11" s="87"/>
      <c r="G11" s="79" t="s">
        <v>96</v>
      </c>
      <c r="H11" s="80"/>
      <c r="I11" s="82">
        <f>+H31+(H33-B14)</f>
        <v>457.5</v>
      </c>
      <c r="J11" s="64" t="s">
        <v>97</v>
      </c>
    </row>
    <row r="12" spans="1:10" x14ac:dyDescent="0.25">
      <c r="A12" s="79" t="s">
        <v>98</v>
      </c>
      <c r="B12" s="80"/>
      <c r="C12" s="86">
        <v>300</v>
      </c>
      <c r="D12" s="83" t="s">
        <v>99</v>
      </c>
      <c r="E12" s="87"/>
      <c r="G12" s="79" t="s">
        <v>100</v>
      </c>
      <c r="H12" s="80"/>
      <c r="I12" s="82">
        <f>I13+I14</f>
        <v>5850</v>
      </c>
    </row>
    <row r="13" spans="1:10" x14ac:dyDescent="0.25">
      <c r="A13" s="79" t="s">
        <v>101</v>
      </c>
      <c r="B13" s="81">
        <v>1400</v>
      </c>
      <c r="C13" s="89"/>
      <c r="D13" s="79" t="s">
        <v>102</v>
      </c>
      <c r="E13" s="82">
        <v>1000</v>
      </c>
      <c r="G13" s="79" t="s">
        <v>103</v>
      </c>
      <c r="H13" s="80"/>
      <c r="I13" s="82">
        <f>3500*0.1</f>
        <v>350</v>
      </c>
      <c r="J13" s="64" t="s">
        <v>104</v>
      </c>
    </row>
    <row r="14" spans="1:10" x14ac:dyDescent="0.25">
      <c r="A14" s="79" t="s">
        <v>105</v>
      </c>
      <c r="B14" s="81">
        <v>700</v>
      </c>
      <c r="C14" s="86">
        <f>B13-B14</f>
        <v>700</v>
      </c>
      <c r="D14" s="79" t="s">
        <v>106</v>
      </c>
      <c r="E14" s="82">
        <v>1000</v>
      </c>
      <c r="G14" s="79" t="s">
        <v>107</v>
      </c>
      <c r="H14" s="80"/>
      <c r="I14" s="82">
        <f>I15+I16</f>
        <v>5500</v>
      </c>
      <c r="J14" s="64" t="s">
        <v>108</v>
      </c>
    </row>
    <row r="15" spans="1:10" x14ac:dyDescent="0.25">
      <c r="A15" s="79" t="s">
        <v>109</v>
      </c>
      <c r="B15" s="80"/>
      <c r="C15" s="90">
        <v>1000</v>
      </c>
      <c r="D15" s="80" t="s">
        <v>110</v>
      </c>
      <c r="E15" s="82">
        <v>3500</v>
      </c>
      <c r="G15" s="79" t="s">
        <v>111</v>
      </c>
      <c r="H15" s="80"/>
      <c r="I15" s="82">
        <f>I16*0.3/0.7</f>
        <v>1650</v>
      </c>
      <c r="J15" s="64" t="s">
        <v>112</v>
      </c>
    </row>
    <row r="16" spans="1:10" x14ac:dyDescent="0.25">
      <c r="A16" s="79"/>
      <c r="B16" s="80"/>
      <c r="C16" s="91"/>
      <c r="D16" s="80"/>
      <c r="E16" s="87"/>
      <c r="G16" s="83" t="s">
        <v>113</v>
      </c>
      <c r="H16" s="84"/>
      <c r="I16" s="85">
        <v>3850</v>
      </c>
      <c r="J16" s="64" t="s">
        <v>114</v>
      </c>
    </row>
    <row r="17" spans="1:11" ht="15.75" thickBot="1" x14ac:dyDescent="0.3">
      <c r="A17" s="92" t="s">
        <v>45</v>
      </c>
      <c r="B17" s="93"/>
      <c r="C17" s="94">
        <f>SUM(C10:C16)</f>
        <v>10500</v>
      </c>
      <c r="D17" s="93" t="s">
        <v>115</v>
      </c>
      <c r="E17" s="94">
        <f>SUM(E7:E15)</f>
        <v>10500</v>
      </c>
      <c r="G17" s="79" t="s">
        <v>116</v>
      </c>
      <c r="H17" s="80"/>
      <c r="I17" s="87">
        <v>0</v>
      </c>
      <c r="J17" s="64" t="s">
        <v>117</v>
      </c>
    </row>
    <row r="18" spans="1:11" ht="15.75" thickBot="1" x14ac:dyDescent="0.3">
      <c r="G18" s="95" t="s">
        <v>118</v>
      </c>
      <c r="H18" s="96"/>
      <c r="I18" s="97">
        <f>I16-I17</f>
        <v>3850</v>
      </c>
    </row>
    <row r="19" spans="1:11" x14ac:dyDescent="0.25">
      <c r="A19" s="98" t="s">
        <v>119</v>
      </c>
      <c r="B19" s="99"/>
      <c r="C19" s="99"/>
      <c r="D19" s="99"/>
      <c r="E19" s="77"/>
      <c r="G19" s="8" t="s">
        <v>69</v>
      </c>
      <c r="H19" s="8"/>
    </row>
    <row r="20" spans="1:11" ht="15.75" thickBot="1" x14ac:dyDescent="0.3">
      <c r="A20" s="79" t="s">
        <v>120</v>
      </c>
      <c r="B20" s="80"/>
      <c r="C20" s="81">
        <f>+C5</f>
        <v>500</v>
      </c>
      <c r="D20" s="80" t="s">
        <v>121</v>
      </c>
      <c r="E20" s="87"/>
      <c r="G20" s="8" t="s">
        <v>122</v>
      </c>
      <c r="H20" s="8"/>
      <c r="I20" s="8"/>
    </row>
    <row r="21" spans="1:11" x14ac:dyDescent="0.25">
      <c r="A21" s="79" t="s">
        <v>123</v>
      </c>
      <c r="B21" s="80"/>
      <c r="C21" s="80"/>
      <c r="D21" s="80" t="s">
        <v>124</v>
      </c>
      <c r="E21" s="82">
        <f>2300*0.2</f>
        <v>460</v>
      </c>
      <c r="G21" s="67"/>
      <c r="H21" s="68"/>
      <c r="I21" s="69" t="s">
        <v>72</v>
      </c>
      <c r="J21" s="68"/>
      <c r="K21" s="69" t="s">
        <v>73</v>
      </c>
    </row>
    <row r="22" spans="1:11" x14ac:dyDescent="0.25">
      <c r="A22" s="79" t="s">
        <v>125</v>
      </c>
      <c r="B22" s="80"/>
      <c r="C22" s="81">
        <v>5600</v>
      </c>
      <c r="D22" s="80" t="s">
        <v>126</v>
      </c>
      <c r="E22" s="82">
        <f>+I10</f>
        <v>4300</v>
      </c>
      <c r="G22" s="72" t="s">
        <v>35</v>
      </c>
      <c r="H22" s="73"/>
      <c r="I22" s="74"/>
      <c r="J22" s="73" t="s">
        <v>74</v>
      </c>
      <c r="K22" s="74"/>
    </row>
    <row r="23" spans="1:11" x14ac:dyDescent="0.25">
      <c r="A23" s="79" t="s">
        <v>127</v>
      </c>
      <c r="B23" s="80"/>
      <c r="C23" s="81">
        <f>C6+I5-I24</f>
        <v>22447</v>
      </c>
      <c r="D23" s="89" t="s">
        <v>128</v>
      </c>
      <c r="E23" s="82">
        <f>E5+H40-K23</f>
        <v>7336.05</v>
      </c>
      <c r="G23" s="79" t="s">
        <v>129</v>
      </c>
      <c r="H23" s="80"/>
      <c r="I23" s="100">
        <f>C28</f>
        <v>7057.9500000000007</v>
      </c>
      <c r="J23" s="79" t="s">
        <v>78</v>
      </c>
      <c r="K23" s="82">
        <f>+H40*30/300</f>
        <v>648.45000000000005</v>
      </c>
    </row>
    <row r="24" spans="1:11" x14ac:dyDescent="0.25">
      <c r="A24" s="79"/>
      <c r="B24" s="80"/>
      <c r="C24" s="80"/>
      <c r="D24" s="89" t="s">
        <v>130</v>
      </c>
      <c r="E24" s="82">
        <f>+I7</f>
        <v>2121.5</v>
      </c>
      <c r="G24" s="79" t="s">
        <v>81</v>
      </c>
      <c r="H24" s="80"/>
      <c r="I24" s="81">
        <f>ROUND(I5/12,0)</f>
        <v>1768</v>
      </c>
      <c r="J24" s="79"/>
      <c r="K24" s="87"/>
    </row>
    <row r="25" spans="1:11" x14ac:dyDescent="0.25">
      <c r="A25" s="79"/>
      <c r="B25" s="80"/>
      <c r="C25" s="80"/>
      <c r="D25" s="89" t="s">
        <v>131</v>
      </c>
      <c r="E25" s="82">
        <f>+I8</f>
        <v>2121.5</v>
      </c>
      <c r="G25" s="79" t="s">
        <v>85</v>
      </c>
      <c r="H25" s="80"/>
      <c r="I25" s="81">
        <f>5000*0.6</f>
        <v>3000</v>
      </c>
      <c r="J25" s="83" t="s">
        <v>86</v>
      </c>
      <c r="K25" s="85">
        <f>SUM(K23:K24)</f>
        <v>648.45000000000005</v>
      </c>
    </row>
    <row r="26" spans="1:11" x14ac:dyDescent="0.25">
      <c r="A26" s="79"/>
      <c r="B26" s="80"/>
      <c r="C26" s="80"/>
      <c r="D26" s="89" t="s">
        <v>132</v>
      </c>
      <c r="E26" s="82">
        <f>+I15</f>
        <v>1650</v>
      </c>
      <c r="G26" s="79" t="s">
        <v>89</v>
      </c>
      <c r="H26" s="80"/>
      <c r="I26" s="86">
        <f>5000-I25</f>
        <v>2000</v>
      </c>
      <c r="J26" s="79"/>
      <c r="K26" s="87"/>
    </row>
    <row r="27" spans="1:11" x14ac:dyDescent="0.25">
      <c r="A27" s="79"/>
      <c r="B27" s="80"/>
      <c r="C27" s="80"/>
      <c r="D27" s="89" t="s">
        <v>82</v>
      </c>
      <c r="E27" s="82">
        <v>3500</v>
      </c>
      <c r="G27" s="101" t="s">
        <v>91</v>
      </c>
      <c r="H27" s="89"/>
      <c r="I27" s="86">
        <v>120</v>
      </c>
      <c r="J27" s="79" t="s">
        <v>133</v>
      </c>
      <c r="K27" s="82">
        <f>3500*1.1</f>
        <v>3850.0000000000005</v>
      </c>
    </row>
    <row r="28" spans="1:11" ht="15.75" thickBot="1" x14ac:dyDescent="0.3">
      <c r="A28" s="92" t="s">
        <v>134</v>
      </c>
      <c r="B28" s="93"/>
      <c r="C28" s="93">
        <f>SUM(C20:C26)-SUM(E21:E27)</f>
        <v>7057.9500000000007</v>
      </c>
      <c r="D28" s="96"/>
      <c r="E28" s="97"/>
      <c r="G28" s="83" t="s">
        <v>48</v>
      </c>
      <c r="H28" s="84"/>
      <c r="I28" s="102">
        <f>SUM(I23:I27)</f>
        <v>13945.95</v>
      </c>
      <c r="J28" s="79" t="s">
        <v>135</v>
      </c>
      <c r="K28" s="82">
        <f>2300*0.8</f>
        <v>1840</v>
      </c>
    </row>
    <row r="29" spans="1:11" x14ac:dyDescent="0.25">
      <c r="G29" s="79" t="s">
        <v>98</v>
      </c>
      <c r="H29" s="80"/>
      <c r="I29" s="86">
        <v>300</v>
      </c>
      <c r="J29" s="79"/>
      <c r="K29" s="87"/>
    </row>
    <row r="30" spans="1:11" x14ac:dyDescent="0.25">
      <c r="G30" s="79" t="s">
        <v>136</v>
      </c>
      <c r="H30" s="81">
        <v>3500</v>
      </c>
      <c r="I30" s="89"/>
      <c r="J30" s="83" t="s">
        <v>99</v>
      </c>
      <c r="K30" s="87"/>
    </row>
    <row r="31" spans="1:11" x14ac:dyDescent="0.25">
      <c r="G31" s="79" t="s">
        <v>105</v>
      </c>
      <c r="H31" s="81">
        <f>0.025*H30</f>
        <v>87.5</v>
      </c>
      <c r="I31" s="89">
        <f>H30-H31</f>
        <v>3412.5</v>
      </c>
      <c r="J31" s="79" t="s">
        <v>102</v>
      </c>
      <c r="K31" s="82">
        <f>+E13+2800</f>
        <v>3800</v>
      </c>
    </row>
    <row r="32" spans="1:11" x14ac:dyDescent="0.25">
      <c r="G32" s="79" t="s">
        <v>101</v>
      </c>
      <c r="H32" s="81">
        <f>+B13+2300</f>
        <v>3700</v>
      </c>
      <c r="I32" s="89"/>
      <c r="J32" s="79" t="s">
        <v>106</v>
      </c>
      <c r="K32" s="82">
        <f>+E14+2800</f>
        <v>3800</v>
      </c>
    </row>
    <row r="33" spans="1:11" x14ac:dyDescent="0.25">
      <c r="G33" s="79" t="s">
        <v>105</v>
      </c>
      <c r="H33" s="81">
        <f>B14+(0.1*H32)</f>
        <v>1070</v>
      </c>
      <c r="I33" s="91">
        <f>H32-H33</f>
        <v>2630</v>
      </c>
      <c r="J33" s="80" t="s">
        <v>110</v>
      </c>
      <c r="K33" s="87">
        <f>+E15+I18</f>
        <v>7350</v>
      </c>
    </row>
    <row r="34" spans="1:11" x14ac:dyDescent="0.25">
      <c r="G34" s="79" t="s">
        <v>109</v>
      </c>
      <c r="H34" s="80"/>
      <c r="I34" s="91">
        <v>1000</v>
      </c>
      <c r="J34" s="80"/>
      <c r="K34" s="87"/>
    </row>
    <row r="35" spans="1:11" ht="15.75" thickBot="1" x14ac:dyDescent="0.3">
      <c r="G35" s="92" t="s">
        <v>45</v>
      </c>
      <c r="H35" s="93"/>
      <c r="I35" s="94">
        <f>SUM(I28:I34)</f>
        <v>21288.45</v>
      </c>
      <c r="J35" s="93" t="s">
        <v>115</v>
      </c>
      <c r="K35" s="94">
        <f>SUM(K25:K33)</f>
        <v>21288.45</v>
      </c>
    </row>
    <row r="36" spans="1:11" x14ac:dyDescent="0.25">
      <c r="I36" s="103"/>
    </row>
    <row r="37" spans="1:11" x14ac:dyDescent="0.25">
      <c r="G37" s="64" t="s">
        <v>137</v>
      </c>
    </row>
    <row r="38" spans="1:11" x14ac:dyDescent="0.25">
      <c r="G38" s="64" t="s">
        <v>138</v>
      </c>
    </row>
    <row r="39" spans="1:11" ht="15.75" thickBot="1" x14ac:dyDescent="0.3">
      <c r="G39" s="64" t="s">
        <v>139</v>
      </c>
    </row>
    <row r="40" spans="1:11" ht="15.75" thickBot="1" x14ac:dyDescent="0.3">
      <c r="A40" s="203" t="s">
        <v>266</v>
      </c>
      <c r="B40" s="204"/>
      <c r="C40" s="204"/>
      <c r="D40" s="205"/>
      <c r="G40" s="64" t="s">
        <v>140</v>
      </c>
      <c r="H40" s="64">
        <f>+I6+I25-C7-C8+I26</f>
        <v>6484.5</v>
      </c>
    </row>
    <row r="41" spans="1:11" ht="34.5" customHeight="1" thickBot="1" x14ac:dyDescent="0.3">
      <c r="A41" s="209" t="s">
        <v>269</v>
      </c>
      <c r="B41" s="252">
        <f>+E23</f>
        <v>7336.05</v>
      </c>
      <c r="C41" s="253"/>
      <c r="D41" s="254"/>
      <c r="G41" s="271" t="s">
        <v>141</v>
      </c>
      <c r="H41" s="271"/>
      <c r="I41" s="271"/>
      <c r="J41" s="271"/>
    </row>
    <row r="42" spans="1:11" ht="15.75" thickBot="1" x14ac:dyDescent="0.3">
      <c r="A42" s="209" t="s">
        <v>270</v>
      </c>
      <c r="B42" s="210"/>
      <c r="C42" s="211"/>
      <c r="D42" s="212">
        <f>+I14-I14*0.35</f>
        <v>3575</v>
      </c>
      <c r="G42" s="270"/>
      <c r="H42" s="270"/>
      <c r="I42" s="270"/>
      <c r="J42" s="270"/>
    </row>
    <row r="43" spans="1:11" ht="15.75" thickBot="1" x14ac:dyDescent="0.3">
      <c r="A43" s="206"/>
      <c r="B43" s="207"/>
      <c r="C43" s="207"/>
      <c r="D43" s="208"/>
    </row>
  </sheetData>
  <mergeCells count="5">
    <mergeCell ref="A1:E1"/>
    <mergeCell ref="G1:I1"/>
    <mergeCell ref="A2:E2"/>
    <mergeCell ref="B41:D41"/>
    <mergeCell ref="G41:J41"/>
  </mergeCells>
  <pageMargins left="0.23622047244094491" right="0.23622047244094491" top="0.74803149606299213" bottom="0.74803149606299213" header="0.31496062992125984" footer="0.31496062992125984"/>
  <pageSetup scale="7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33" workbookViewId="0">
      <selection activeCell="D69" sqref="D69"/>
    </sheetView>
  </sheetViews>
  <sheetFormatPr defaultRowHeight="15" x14ac:dyDescent="0.25"/>
  <cols>
    <col min="1" max="1" width="4.5703125" style="104" customWidth="1"/>
    <col min="2" max="3" width="9.140625" style="104"/>
    <col min="4" max="4" width="34.140625" style="104" customWidth="1"/>
    <col min="5" max="6" width="14.42578125" style="104" customWidth="1"/>
    <col min="7" max="16384" width="9.140625" style="104"/>
  </cols>
  <sheetData>
    <row r="1" spans="1:6" x14ac:dyDescent="0.25">
      <c r="A1" s="261" t="s">
        <v>142</v>
      </c>
      <c r="B1" s="262"/>
      <c r="C1" s="262"/>
      <c r="D1" s="262"/>
      <c r="E1" s="262"/>
      <c r="F1" s="263"/>
    </row>
    <row r="2" spans="1:6" x14ac:dyDescent="0.25">
      <c r="A2" s="264" t="s">
        <v>143</v>
      </c>
      <c r="B2" s="265"/>
      <c r="C2" s="265"/>
      <c r="D2" s="265"/>
      <c r="E2" s="265"/>
      <c r="F2" s="266"/>
    </row>
    <row r="3" spans="1:6" x14ac:dyDescent="0.25">
      <c r="A3" s="264" t="s">
        <v>144</v>
      </c>
      <c r="B3" s="265"/>
      <c r="C3" s="265"/>
      <c r="D3" s="265"/>
      <c r="E3" s="265"/>
      <c r="F3" s="266"/>
    </row>
    <row r="4" spans="1:6" x14ac:dyDescent="0.25">
      <c r="A4" s="105"/>
      <c r="B4" s="106"/>
      <c r="C4" s="106"/>
      <c r="D4" s="106"/>
      <c r="E4" s="106"/>
      <c r="F4" s="107"/>
    </row>
    <row r="5" spans="1:6" ht="30" x14ac:dyDescent="0.25">
      <c r="A5" s="108" t="s">
        <v>145</v>
      </c>
      <c r="B5" s="109"/>
      <c r="C5" s="109"/>
      <c r="D5" s="110"/>
      <c r="E5" s="111" t="s">
        <v>146</v>
      </c>
      <c r="F5" s="111" t="s">
        <v>146</v>
      </c>
    </row>
    <row r="6" spans="1:6" x14ac:dyDescent="0.25">
      <c r="A6" s="112" t="s">
        <v>147</v>
      </c>
      <c r="B6" s="113"/>
      <c r="C6" s="113"/>
      <c r="D6" s="114"/>
      <c r="E6" s="115"/>
      <c r="F6" s="115"/>
    </row>
    <row r="7" spans="1:6" x14ac:dyDescent="0.25">
      <c r="A7" s="116"/>
      <c r="B7" s="117" t="s">
        <v>148</v>
      </c>
      <c r="C7" s="117"/>
      <c r="D7" s="118"/>
      <c r="E7" s="119">
        <v>1228</v>
      </c>
      <c r="F7" s="120"/>
    </row>
    <row r="8" spans="1:6" x14ac:dyDescent="0.25">
      <c r="A8" s="116"/>
      <c r="B8" s="117" t="s">
        <v>149</v>
      </c>
      <c r="C8" s="117"/>
      <c r="D8" s="118"/>
      <c r="E8" s="120"/>
      <c r="F8" s="120"/>
    </row>
    <row r="9" spans="1:6" x14ac:dyDescent="0.25">
      <c r="A9" s="116"/>
      <c r="B9" s="117" t="s">
        <v>150</v>
      </c>
      <c r="C9" s="117"/>
      <c r="D9" s="118"/>
      <c r="E9" s="119">
        <v>60</v>
      </c>
      <c r="F9" s="120"/>
    </row>
    <row r="10" spans="1:6" x14ac:dyDescent="0.25">
      <c r="A10" s="116"/>
      <c r="B10" s="117" t="s">
        <v>151</v>
      </c>
      <c r="C10" s="117"/>
      <c r="D10" s="118"/>
      <c r="E10" s="119">
        <v>240</v>
      </c>
      <c r="F10" s="120"/>
    </row>
    <row r="11" spans="1:6" x14ac:dyDescent="0.25">
      <c r="A11" s="116"/>
      <c r="B11" s="117" t="s">
        <v>152</v>
      </c>
      <c r="C11" s="117"/>
      <c r="D11" s="118"/>
      <c r="E11" s="119">
        <v>1</v>
      </c>
      <c r="F11" s="120"/>
    </row>
    <row r="12" spans="1:6" x14ac:dyDescent="0.25">
      <c r="A12" s="116"/>
      <c r="B12" s="117" t="s">
        <v>153</v>
      </c>
      <c r="C12" s="117"/>
      <c r="D12" s="118"/>
      <c r="E12" s="119">
        <v>15</v>
      </c>
      <c r="F12" s="120"/>
    </row>
    <row r="13" spans="1:6" x14ac:dyDescent="0.25">
      <c r="A13" s="116"/>
      <c r="B13" s="117" t="s">
        <v>154</v>
      </c>
      <c r="C13" s="117"/>
      <c r="D13" s="117"/>
      <c r="E13" s="119">
        <v>86</v>
      </c>
      <c r="F13" s="120"/>
    </row>
    <row r="14" spans="1:6" x14ac:dyDescent="0.25">
      <c r="A14" s="116"/>
      <c r="B14" s="117" t="s">
        <v>155</v>
      </c>
      <c r="C14" s="117"/>
      <c r="D14" s="117"/>
      <c r="E14" s="119">
        <v>-111</v>
      </c>
      <c r="F14" s="120"/>
    </row>
    <row r="15" spans="1:6" x14ac:dyDescent="0.25">
      <c r="A15" s="116"/>
      <c r="B15" s="117" t="s">
        <v>156</v>
      </c>
      <c r="C15" s="117"/>
      <c r="D15" s="118"/>
      <c r="E15" s="121">
        <v>-79</v>
      </c>
      <c r="F15" s="120"/>
    </row>
    <row r="16" spans="1:6" x14ac:dyDescent="0.25">
      <c r="A16" s="116"/>
      <c r="B16" s="117" t="s">
        <v>157</v>
      </c>
      <c r="C16" s="117"/>
      <c r="D16" s="118"/>
      <c r="E16" s="122">
        <f>SUM(E6:E15)</f>
        <v>1440</v>
      </c>
      <c r="F16" s="120"/>
    </row>
    <row r="17" spans="1:6" x14ac:dyDescent="0.25">
      <c r="A17" s="116"/>
      <c r="B17" s="117" t="s">
        <v>158</v>
      </c>
      <c r="C17" s="117"/>
      <c r="D17" s="118"/>
      <c r="E17" s="120"/>
      <c r="F17" s="120"/>
    </row>
    <row r="18" spans="1:6" x14ac:dyDescent="0.25">
      <c r="A18" s="116"/>
      <c r="B18" s="117" t="s">
        <v>159</v>
      </c>
      <c r="C18" s="117"/>
      <c r="D18" s="118"/>
      <c r="E18" s="119">
        <v>-2</v>
      </c>
      <c r="F18" s="120"/>
    </row>
    <row r="19" spans="1:6" x14ac:dyDescent="0.25">
      <c r="A19" s="116"/>
      <c r="B19" s="117" t="s">
        <v>160</v>
      </c>
      <c r="C19" s="117"/>
      <c r="D19" s="118"/>
      <c r="E19" s="119">
        <v>3</v>
      </c>
      <c r="F19" s="120"/>
    </row>
    <row r="20" spans="1:6" x14ac:dyDescent="0.25">
      <c r="A20" s="116"/>
      <c r="B20" s="117" t="s">
        <v>161</v>
      </c>
      <c r="C20" s="117"/>
      <c r="D20" s="118"/>
      <c r="E20" s="119">
        <v>40</v>
      </c>
      <c r="F20" s="120"/>
    </row>
    <row r="21" spans="1:6" x14ac:dyDescent="0.25">
      <c r="A21" s="116"/>
      <c r="B21" s="117" t="s">
        <v>162</v>
      </c>
      <c r="C21" s="117"/>
      <c r="D21" s="118"/>
      <c r="E21" s="119">
        <v>-3</v>
      </c>
      <c r="F21" s="120"/>
    </row>
    <row r="22" spans="1:6" x14ac:dyDescent="0.25">
      <c r="A22" s="116"/>
      <c r="B22" s="117" t="s">
        <v>163</v>
      </c>
      <c r="C22" s="117"/>
      <c r="D22" s="118"/>
      <c r="E22" s="119">
        <v>-268</v>
      </c>
      <c r="F22" s="120"/>
    </row>
    <row r="23" spans="1:6" x14ac:dyDescent="0.25">
      <c r="A23" s="116"/>
      <c r="B23" s="117" t="s">
        <v>164</v>
      </c>
      <c r="C23" s="117"/>
      <c r="D23" s="118"/>
      <c r="E23" s="119">
        <v>-2</v>
      </c>
      <c r="F23" s="120"/>
    </row>
    <row r="24" spans="1:6" x14ac:dyDescent="0.25">
      <c r="A24" s="116"/>
      <c r="B24" s="117" t="s">
        <v>165</v>
      </c>
      <c r="C24" s="117"/>
      <c r="D24" s="118"/>
      <c r="E24" s="119">
        <v>-1</v>
      </c>
      <c r="F24" s="120"/>
    </row>
    <row r="25" spans="1:6" x14ac:dyDescent="0.25">
      <c r="A25" s="116"/>
      <c r="B25" s="117" t="s">
        <v>166</v>
      </c>
      <c r="C25" s="117"/>
      <c r="D25" s="118"/>
      <c r="E25" s="119">
        <v>69</v>
      </c>
      <c r="F25" s="120"/>
    </row>
    <row r="26" spans="1:6" x14ac:dyDescent="0.25">
      <c r="A26" s="116"/>
      <c r="B26" s="117" t="s">
        <v>167</v>
      </c>
      <c r="C26" s="117"/>
      <c r="D26" s="118"/>
      <c r="E26" s="119">
        <v>228</v>
      </c>
      <c r="F26" s="120"/>
    </row>
    <row r="27" spans="1:6" x14ac:dyDescent="0.25">
      <c r="A27" s="116"/>
      <c r="B27" s="117" t="s">
        <v>168</v>
      </c>
      <c r="C27" s="117"/>
      <c r="D27" s="118"/>
      <c r="E27" s="119">
        <v>-338</v>
      </c>
      <c r="F27" s="120"/>
    </row>
    <row r="28" spans="1:6" x14ac:dyDescent="0.25">
      <c r="A28" s="116"/>
      <c r="B28" s="117" t="s">
        <v>169</v>
      </c>
      <c r="C28" s="117"/>
      <c r="D28" s="118"/>
      <c r="E28" s="119">
        <f>SUM(E16:E27)</f>
        <v>1166</v>
      </c>
      <c r="F28" s="120"/>
    </row>
    <row r="29" spans="1:6" x14ac:dyDescent="0.25">
      <c r="A29" s="116"/>
      <c r="B29" s="117" t="s">
        <v>170</v>
      </c>
      <c r="C29" s="117"/>
      <c r="D29" s="118"/>
      <c r="E29" s="121">
        <v>-389</v>
      </c>
      <c r="F29" s="120"/>
    </row>
    <row r="30" spans="1:6" x14ac:dyDescent="0.25">
      <c r="A30" s="116"/>
      <c r="B30" s="123" t="s">
        <v>171</v>
      </c>
      <c r="C30" s="117"/>
      <c r="D30" s="118"/>
      <c r="E30" s="120"/>
      <c r="F30" s="124">
        <f>+E28+E29</f>
        <v>777</v>
      </c>
    </row>
    <row r="31" spans="1:6" x14ac:dyDescent="0.25">
      <c r="A31" s="116" t="s">
        <v>172</v>
      </c>
      <c r="B31" s="117"/>
      <c r="C31" s="117"/>
      <c r="D31" s="118"/>
      <c r="E31" s="120"/>
      <c r="F31" s="120"/>
    </row>
    <row r="32" spans="1:6" x14ac:dyDescent="0.25">
      <c r="A32" s="116"/>
      <c r="B32" s="117" t="s">
        <v>173</v>
      </c>
      <c r="C32" s="117"/>
      <c r="D32" s="118"/>
      <c r="E32" s="119">
        <v>-571</v>
      </c>
      <c r="F32" s="120"/>
    </row>
    <row r="33" spans="1:7" x14ac:dyDescent="0.25">
      <c r="A33" s="116"/>
      <c r="B33" s="117" t="s">
        <v>174</v>
      </c>
      <c r="C33" s="117"/>
      <c r="D33" s="118"/>
      <c r="E33" s="119">
        <v>74</v>
      </c>
      <c r="F33" s="120"/>
    </row>
    <row r="34" spans="1:7" x14ac:dyDescent="0.25">
      <c r="A34" s="116"/>
      <c r="B34" s="117" t="s">
        <v>175</v>
      </c>
      <c r="C34" s="117"/>
      <c r="D34" s="118"/>
      <c r="E34" s="121">
        <v>4</v>
      </c>
      <c r="F34" s="120"/>
    </row>
    <row r="35" spans="1:7" x14ac:dyDescent="0.25">
      <c r="A35" s="116"/>
      <c r="B35" s="123" t="s">
        <v>176</v>
      </c>
      <c r="C35" s="117"/>
      <c r="D35" s="118"/>
      <c r="E35" s="120"/>
      <c r="F35" s="124">
        <f>SUM(E32:E34)</f>
        <v>-493</v>
      </c>
    </row>
    <row r="36" spans="1:7" x14ac:dyDescent="0.25">
      <c r="A36" s="116" t="s">
        <v>177</v>
      </c>
      <c r="B36" s="117"/>
      <c r="C36" s="117"/>
      <c r="D36" s="118"/>
      <c r="E36" s="120"/>
      <c r="F36" s="120"/>
    </row>
    <row r="37" spans="1:7" x14ac:dyDescent="0.25">
      <c r="A37" s="116"/>
      <c r="B37" s="117" t="s">
        <v>178</v>
      </c>
      <c r="C37" s="117"/>
      <c r="D37" s="118"/>
      <c r="E37" s="119">
        <v>-10</v>
      </c>
      <c r="F37" s="120"/>
    </row>
    <row r="38" spans="1:7" x14ac:dyDescent="0.25">
      <c r="A38" s="116"/>
      <c r="B38" s="117" t="s">
        <v>179</v>
      </c>
      <c r="C38" s="117"/>
      <c r="D38" s="118"/>
      <c r="E38" s="119">
        <v>67</v>
      </c>
      <c r="F38" s="120"/>
    </row>
    <row r="39" spans="1:7" x14ac:dyDescent="0.25">
      <c r="A39" s="116"/>
      <c r="B39" s="117" t="s">
        <v>180</v>
      </c>
      <c r="C39" s="117"/>
      <c r="D39" s="118"/>
      <c r="E39" s="119">
        <v>-60</v>
      </c>
      <c r="F39" s="120"/>
    </row>
    <row r="40" spans="1:7" x14ac:dyDescent="0.25">
      <c r="A40" s="116"/>
      <c r="B40" s="117" t="s">
        <v>153</v>
      </c>
      <c r="C40" s="117"/>
      <c r="D40" s="118"/>
      <c r="E40" s="119">
        <v>-15</v>
      </c>
      <c r="F40" s="120"/>
    </row>
    <row r="41" spans="1:7" x14ac:dyDescent="0.25">
      <c r="A41" s="116"/>
      <c r="B41" s="117" t="s">
        <v>181</v>
      </c>
      <c r="C41" s="117"/>
      <c r="D41" s="118"/>
      <c r="E41" s="119">
        <v>11</v>
      </c>
      <c r="F41" s="120"/>
    </row>
    <row r="42" spans="1:7" x14ac:dyDescent="0.25">
      <c r="A42" s="116"/>
      <c r="B42" s="117" t="s">
        <v>182</v>
      </c>
      <c r="C42" s="117"/>
      <c r="D42" s="118"/>
      <c r="E42" s="121">
        <v>-173</v>
      </c>
      <c r="F42" s="120"/>
    </row>
    <row r="43" spans="1:7" x14ac:dyDescent="0.25">
      <c r="A43" s="116"/>
      <c r="B43" s="123" t="s">
        <v>183</v>
      </c>
      <c r="C43" s="117"/>
      <c r="D43" s="118"/>
      <c r="E43" s="120"/>
      <c r="F43" s="124">
        <f>SUM(E37:E42)</f>
        <v>-180</v>
      </c>
    </row>
    <row r="44" spans="1:7" x14ac:dyDescent="0.25">
      <c r="A44" s="116" t="s">
        <v>184</v>
      </c>
      <c r="B44" s="117"/>
      <c r="C44" s="117"/>
      <c r="D44" s="118"/>
      <c r="E44" s="120"/>
      <c r="F44" s="124">
        <f>SUM(F30:F43)</f>
        <v>104</v>
      </c>
      <c r="G44" s="125">
        <f>+F44-SUM(F6:F43)</f>
        <v>0</v>
      </c>
    </row>
    <row r="45" spans="1:7" x14ac:dyDescent="0.25">
      <c r="A45" s="116" t="s">
        <v>185</v>
      </c>
      <c r="B45" s="117"/>
      <c r="C45" s="117"/>
      <c r="D45" s="118"/>
      <c r="E45" s="120"/>
      <c r="F45" s="120">
        <v>549</v>
      </c>
    </row>
    <row r="46" spans="1:7" x14ac:dyDescent="0.25">
      <c r="A46" s="105" t="s">
        <v>186</v>
      </c>
      <c r="B46" s="106"/>
      <c r="C46" s="106"/>
      <c r="D46" s="107"/>
      <c r="E46" s="126"/>
      <c r="F46" s="127">
        <f>+F44+F45</f>
        <v>653</v>
      </c>
    </row>
    <row r="49" spans="2:5" ht="15.75" thickBot="1" x14ac:dyDescent="0.3"/>
    <row r="50" spans="2:5" x14ac:dyDescent="0.25">
      <c r="B50" s="213" t="s">
        <v>266</v>
      </c>
      <c r="C50" s="214"/>
      <c r="D50" s="214"/>
      <c r="E50" s="215"/>
    </row>
    <row r="51" spans="2:5" x14ac:dyDescent="0.25">
      <c r="B51" s="255" t="s">
        <v>271</v>
      </c>
      <c r="C51" s="256"/>
      <c r="D51" s="257"/>
      <c r="E51" s="216">
        <f>+E16</f>
        <v>1440</v>
      </c>
    </row>
    <row r="52" spans="2:5" x14ac:dyDescent="0.25">
      <c r="B52" s="255" t="s">
        <v>272</v>
      </c>
      <c r="C52" s="256"/>
      <c r="D52" s="257"/>
      <c r="E52" s="216">
        <f>+F30</f>
        <v>777</v>
      </c>
    </row>
    <row r="53" spans="2:5" x14ac:dyDescent="0.25">
      <c r="B53" s="255" t="s">
        <v>273</v>
      </c>
      <c r="C53" s="256"/>
      <c r="D53" s="257"/>
      <c r="E53" s="216">
        <f>+F35</f>
        <v>-493</v>
      </c>
    </row>
    <row r="54" spans="2:5" ht="15.75" thickBot="1" x14ac:dyDescent="0.3">
      <c r="B54" s="258" t="s">
        <v>274</v>
      </c>
      <c r="C54" s="259"/>
      <c r="D54" s="260"/>
      <c r="E54" s="216">
        <f>+F43</f>
        <v>-180</v>
      </c>
    </row>
  </sheetData>
  <mergeCells count="7">
    <mergeCell ref="B53:D53"/>
    <mergeCell ref="B54:D54"/>
    <mergeCell ref="A1:F1"/>
    <mergeCell ref="A2:F2"/>
    <mergeCell ref="A3:F3"/>
    <mergeCell ref="B51:D51"/>
    <mergeCell ref="B52:D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0"/>
  <sheetViews>
    <sheetView zoomScale="80" zoomScaleNormal="80" workbookViewId="0">
      <selection sqref="A1:D1"/>
    </sheetView>
  </sheetViews>
  <sheetFormatPr defaultRowHeight="15" x14ac:dyDescent="0.25"/>
  <cols>
    <col min="1" max="1" width="17.140625" customWidth="1"/>
    <col min="2" max="2" width="41.85546875" customWidth="1"/>
    <col min="3" max="3" width="25" customWidth="1"/>
    <col min="4" max="4" width="26" customWidth="1"/>
  </cols>
  <sheetData>
    <row r="1" spans="1:4" ht="28.5" x14ac:dyDescent="0.45">
      <c r="A1" s="267" t="s">
        <v>187</v>
      </c>
      <c r="B1" s="267"/>
      <c r="C1" s="267"/>
      <c r="D1" s="267"/>
    </row>
    <row r="2" spans="1:4" ht="15.75" thickBot="1" x14ac:dyDescent="0.3"/>
    <row r="3" spans="1:4" x14ac:dyDescent="0.25">
      <c r="A3" s="128"/>
      <c r="B3" s="47"/>
      <c r="C3" s="129" t="s">
        <v>188</v>
      </c>
      <c r="D3" s="130" t="s">
        <v>189</v>
      </c>
    </row>
    <row r="4" spans="1:4" s="133" customFormat="1" ht="18.75" thickBot="1" x14ac:dyDescent="0.3">
      <c r="A4" s="131" t="s">
        <v>190</v>
      </c>
      <c r="B4" s="132" t="s">
        <v>191</v>
      </c>
      <c r="C4" s="245">
        <f>+'S1 Q2'!B2</f>
        <v>26111992</v>
      </c>
      <c r="D4" s="246">
        <f>+'S1 Q2'!B2</f>
        <v>26111992</v>
      </c>
    </row>
    <row r="5" spans="1:4" x14ac:dyDescent="0.25">
      <c r="A5" s="134"/>
      <c r="B5" s="135" t="s">
        <v>192</v>
      </c>
      <c r="C5" s="136">
        <f>0.2*C4</f>
        <v>5222398.4000000004</v>
      </c>
      <c r="D5" s="243">
        <f>0.1818182*D4</f>
        <v>4747635.3838544004</v>
      </c>
    </row>
    <row r="6" spans="1:4" x14ac:dyDescent="0.25">
      <c r="A6" s="134"/>
      <c r="B6" s="135" t="s">
        <v>193</v>
      </c>
      <c r="C6" s="136">
        <f>0.2*C4</f>
        <v>5222398.4000000004</v>
      </c>
      <c r="D6" s="137">
        <f>0.2*D4</f>
        <v>5222398.4000000004</v>
      </c>
    </row>
    <row r="7" spans="1:4" x14ac:dyDescent="0.25">
      <c r="A7" s="138"/>
      <c r="B7" s="135" t="s">
        <v>107</v>
      </c>
      <c r="C7" s="136">
        <f>16300000-0.9*C4</f>
        <v>-7200792.8000000007</v>
      </c>
      <c r="D7" s="137">
        <f>16300000-0.8818182*D4</f>
        <v>-6726029.7838543989</v>
      </c>
    </row>
    <row r="8" spans="1:4" s="133" customFormat="1" ht="18" x14ac:dyDescent="0.25">
      <c r="A8" s="139">
        <v>1</v>
      </c>
      <c r="B8" s="140" t="s">
        <v>194</v>
      </c>
      <c r="C8" s="141">
        <f>IF(C7&gt;0,0.4*C7,0)</f>
        <v>0</v>
      </c>
      <c r="D8" s="142">
        <f>IF(D7&gt;0,0.4*D7,0)</f>
        <v>0</v>
      </c>
    </row>
    <row r="9" spans="1:4" x14ac:dyDescent="0.25">
      <c r="A9" s="143"/>
      <c r="B9" s="144" t="s">
        <v>113</v>
      </c>
      <c r="C9" s="145">
        <f>C7-C8</f>
        <v>-7200792.8000000007</v>
      </c>
      <c r="D9" s="146">
        <f>D7-D8</f>
        <v>-6726029.7838543989</v>
      </c>
    </row>
    <row r="10" spans="1:4" s="133" customFormat="1" ht="18" x14ac:dyDescent="0.25">
      <c r="A10" s="139">
        <v>2</v>
      </c>
      <c r="B10" s="140" t="s">
        <v>63</v>
      </c>
      <c r="C10" s="141">
        <f>(C9-200000)+(2*C4)</f>
        <v>44823191.200000003</v>
      </c>
      <c r="D10" s="142">
        <f>(D9-200000)+(2*D4)</f>
        <v>45297954.216145605</v>
      </c>
    </row>
    <row r="11" spans="1:4" s="133" customFormat="1" ht="18" x14ac:dyDescent="0.25">
      <c r="A11" s="139">
        <v>3</v>
      </c>
      <c r="B11" s="140" t="s">
        <v>134</v>
      </c>
      <c r="C11" s="141">
        <f>15600000+(1.5*C4)</f>
        <v>54767988</v>
      </c>
      <c r="D11" s="142">
        <f>15600000+(1.5*D4)</f>
        <v>54767988</v>
      </c>
    </row>
    <row r="12" spans="1:4" s="133" customFormat="1" ht="18" x14ac:dyDescent="0.25">
      <c r="A12" s="139">
        <v>4</v>
      </c>
      <c r="B12" s="140" t="s">
        <v>195</v>
      </c>
      <c r="C12" s="141">
        <f>C9+C5</f>
        <v>-1978394.4000000004</v>
      </c>
      <c r="D12" s="142">
        <f>D9+D5</f>
        <v>-1978394.3999999985</v>
      </c>
    </row>
    <row r="13" spans="1:4" s="133" customFormat="1" ht="18" x14ac:dyDescent="0.25">
      <c r="A13" s="139">
        <v>5</v>
      </c>
      <c r="B13" s="140" t="s">
        <v>196</v>
      </c>
      <c r="C13" s="141">
        <f>-C4</f>
        <v>-26111992</v>
      </c>
      <c r="D13" s="142">
        <f>-D4</f>
        <v>-26111992</v>
      </c>
    </row>
    <row r="14" spans="1:4" s="133" customFormat="1" ht="18" x14ac:dyDescent="0.25">
      <c r="A14" s="139">
        <v>6</v>
      </c>
      <c r="B14" s="140" t="s">
        <v>197</v>
      </c>
      <c r="C14" s="141">
        <f>4*C4-200000</f>
        <v>104247968</v>
      </c>
      <c r="D14" s="142">
        <f>4*D4-200000</f>
        <v>104247968</v>
      </c>
    </row>
    <row r="15" spans="1:4" s="133" customFormat="1" ht="18" x14ac:dyDescent="0.25">
      <c r="A15" s="139">
        <v>7</v>
      </c>
      <c r="B15" s="140" t="s">
        <v>198</v>
      </c>
      <c r="C15" s="141">
        <f>(16100000+(1.5*C4)-C8-C6)</f>
        <v>50045589.600000001</v>
      </c>
      <c r="D15" s="142">
        <f>(16100000+(1.5*D4)-D8-D6)</f>
        <v>50045589.600000001</v>
      </c>
    </row>
    <row r="16" spans="1:4" s="133" customFormat="1" ht="18" x14ac:dyDescent="0.25">
      <c r="A16" s="139">
        <v>8</v>
      </c>
      <c r="B16" s="140" t="s">
        <v>53</v>
      </c>
      <c r="C16" s="141">
        <v>0</v>
      </c>
      <c r="D16" s="142">
        <v>0</v>
      </c>
    </row>
    <row r="17" spans="1:4" s="133" customFormat="1" ht="18.75" thickBot="1" x14ac:dyDescent="0.3">
      <c r="A17" s="131">
        <v>9</v>
      </c>
      <c r="B17" s="132" t="s">
        <v>199</v>
      </c>
      <c r="C17" s="147" t="str">
        <f>IF(C9&gt;100000,B18,B19)</f>
        <v>Bad</v>
      </c>
      <c r="D17" s="148" t="str">
        <f>IF(D9&gt;100000,B18,B19)</f>
        <v>Bad</v>
      </c>
    </row>
    <row r="18" spans="1:4" ht="18" x14ac:dyDescent="0.25">
      <c r="A18" s="149"/>
      <c r="B18" s="150" t="s">
        <v>200</v>
      </c>
      <c r="C18" s="151"/>
      <c r="D18" s="151"/>
    </row>
    <row r="19" spans="1:4" ht="18.75" thickBot="1" x14ac:dyDescent="0.3">
      <c r="B19" s="150" t="s">
        <v>201</v>
      </c>
    </row>
    <row r="20" spans="1:4" ht="18.75" thickBot="1" x14ac:dyDescent="0.3">
      <c r="A20" s="150">
        <v>10</v>
      </c>
      <c r="C20" s="268" t="s">
        <v>279</v>
      </c>
      <c r="D20" s="269"/>
    </row>
    <row r="24" spans="1:4" x14ac:dyDescent="0.25">
      <c r="A24" t="s">
        <v>266</v>
      </c>
    </row>
    <row r="25" spans="1:4" x14ac:dyDescent="0.25">
      <c r="A25" t="s">
        <v>281</v>
      </c>
      <c r="B25" s="237">
        <f>+C12</f>
        <v>-1978394.4000000004</v>
      </c>
      <c r="C25" s="237">
        <f>+D12</f>
        <v>-1978394.3999999985</v>
      </c>
      <c r="D25" t="s">
        <v>286</v>
      </c>
    </row>
    <row r="26" spans="1:4" x14ac:dyDescent="0.25">
      <c r="A26" t="s">
        <v>280</v>
      </c>
      <c r="B26" s="237">
        <f>+C15</f>
        <v>50045589.600000001</v>
      </c>
      <c r="C26" s="237">
        <f>+D15</f>
        <v>50045589.600000001</v>
      </c>
      <c r="D26" t="s">
        <v>287</v>
      </c>
    </row>
    <row r="27" spans="1:4" ht="15.75" thickBot="1" x14ac:dyDescent="0.3">
      <c r="A27" t="s">
        <v>282</v>
      </c>
      <c r="B27" s="237">
        <f>+C16</f>
        <v>0</v>
      </c>
      <c r="C27" s="237">
        <f>+D16</f>
        <v>0</v>
      </c>
      <c r="D27" t="s">
        <v>287</v>
      </c>
    </row>
    <row r="28" spans="1:4" ht="15.75" thickBot="1" x14ac:dyDescent="0.3">
      <c r="A28" t="s">
        <v>283</v>
      </c>
      <c r="B28" t="str">
        <f>+C20</f>
        <v>NO</v>
      </c>
      <c r="C28" s="238" t="s">
        <v>279</v>
      </c>
      <c r="D28" s="244" t="s">
        <v>288</v>
      </c>
    </row>
    <row r="30" spans="1:4" x14ac:dyDescent="0.25">
      <c r="B30" t="s">
        <v>293</v>
      </c>
    </row>
  </sheetData>
  <mergeCells count="2">
    <mergeCell ref="A1:D1"/>
    <mergeCell ref="C20:D20"/>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6"/>
  <sheetViews>
    <sheetView topLeftCell="A7" workbookViewId="0">
      <selection activeCell="F34" sqref="F34:F39"/>
    </sheetView>
  </sheetViews>
  <sheetFormatPr defaultRowHeight="15" x14ac:dyDescent="0.25"/>
  <cols>
    <col min="1" max="1" width="28.42578125" style="152" customWidth="1"/>
    <col min="2" max="5" width="9.140625" style="152"/>
    <col min="6" max="6" width="36.140625" style="152" customWidth="1"/>
    <col min="7" max="7" width="11.28515625" style="152" customWidth="1"/>
    <col min="8" max="8" width="9.140625" style="152" customWidth="1"/>
    <col min="9" max="9" width="10.85546875" style="152" customWidth="1"/>
    <col min="10" max="10" width="6.5703125" style="152" customWidth="1"/>
    <col min="11" max="11" width="9.140625" style="152"/>
    <col min="12" max="12" width="9.7109375" style="152" customWidth="1"/>
    <col min="13" max="18" width="9.140625" style="152"/>
    <col min="19" max="19" width="27.7109375" style="152" customWidth="1"/>
    <col min="20" max="21" width="9.140625" style="152"/>
    <col min="22" max="22" width="22.7109375" style="152" customWidth="1"/>
    <col min="23" max="16384" width="9.140625" style="152"/>
  </cols>
  <sheetData>
    <row r="1" spans="1:26" x14ac:dyDescent="0.25">
      <c r="A1" s="152" t="s">
        <v>202</v>
      </c>
      <c r="F1" s="153" t="s">
        <v>203</v>
      </c>
      <c r="G1" s="154" t="s">
        <v>204</v>
      </c>
      <c r="H1" s="154"/>
      <c r="I1" s="154" t="s">
        <v>205</v>
      </c>
      <c r="J1" s="155"/>
      <c r="K1" s="156" t="s">
        <v>206</v>
      </c>
      <c r="L1" s="155"/>
      <c r="M1" s="156" t="s">
        <v>207</v>
      </c>
      <c r="N1" s="155"/>
      <c r="O1" s="156" t="s">
        <v>208</v>
      </c>
      <c r="P1" s="155"/>
      <c r="U1" s="157" t="s">
        <v>209</v>
      </c>
    </row>
    <row r="2" spans="1:26" ht="15.75" thickBot="1" x14ac:dyDescent="0.3">
      <c r="F2" s="158" t="s">
        <v>210</v>
      </c>
      <c r="G2" s="159" t="s">
        <v>211</v>
      </c>
      <c r="H2" s="159" t="s">
        <v>212</v>
      </c>
      <c r="I2" s="159" t="s">
        <v>211</v>
      </c>
      <c r="J2" s="159" t="s">
        <v>212</v>
      </c>
      <c r="K2" s="159" t="s">
        <v>211</v>
      </c>
      <c r="L2" s="159" t="s">
        <v>212</v>
      </c>
      <c r="M2" s="159" t="s">
        <v>211</v>
      </c>
      <c r="N2" s="159" t="s">
        <v>212</v>
      </c>
      <c r="O2" s="160" t="s">
        <v>35</v>
      </c>
      <c r="P2" s="160" t="s">
        <v>37</v>
      </c>
      <c r="U2" s="157" t="s">
        <v>213</v>
      </c>
    </row>
    <row r="3" spans="1:26" ht="15.75" thickBot="1" x14ac:dyDescent="0.3">
      <c r="B3" s="161" t="s">
        <v>129</v>
      </c>
      <c r="C3" s="162"/>
      <c r="F3" s="163" t="s">
        <v>129</v>
      </c>
      <c r="G3" s="164">
        <f>B10</f>
        <v>86000</v>
      </c>
      <c r="H3" s="164"/>
      <c r="I3" s="164"/>
      <c r="J3" s="164"/>
      <c r="K3" s="164">
        <f>G3+I3-H3-J3</f>
        <v>86000</v>
      </c>
      <c r="L3" s="164"/>
      <c r="M3" s="164"/>
      <c r="N3" s="164"/>
      <c r="O3" s="165">
        <f>K3+M3-L3-N3</f>
        <v>86000</v>
      </c>
      <c r="P3" s="165"/>
      <c r="S3" s="166"/>
      <c r="T3" s="167"/>
      <c r="U3" s="167" t="s">
        <v>72</v>
      </c>
      <c r="V3" s="167"/>
      <c r="W3" s="167"/>
      <c r="X3" s="168" t="s">
        <v>73</v>
      </c>
    </row>
    <row r="4" spans="1:26" ht="15.75" thickTop="1" x14ac:dyDescent="0.25">
      <c r="B4" s="169">
        <v>280000</v>
      </c>
      <c r="C4" s="152">
        <v>124000</v>
      </c>
      <c r="F4" s="163" t="s">
        <v>39</v>
      </c>
      <c r="G4" s="164">
        <f>C4</f>
        <v>124000</v>
      </c>
      <c r="H4" s="164"/>
      <c r="I4" s="164"/>
      <c r="J4" s="164">
        <f>G4/2</f>
        <v>62000</v>
      </c>
      <c r="K4" s="164">
        <f t="shared" ref="K4:K20" si="0">G4+I4-H4-J4</f>
        <v>62000</v>
      </c>
      <c r="L4" s="164"/>
      <c r="M4" s="164"/>
      <c r="N4" s="164"/>
      <c r="O4" s="165">
        <f>K4+M4-L4-N4</f>
        <v>62000</v>
      </c>
      <c r="P4" s="165"/>
      <c r="S4" s="170" t="s">
        <v>48</v>
      </c>
      <c r="T4" s="171"/>
      <c r="U4" s="171"/>
      <c r="V4" s="172" t="s">
        <v>86</v>
      </c>
      <c r="W4" s="171"/>
      <c r="X4" s="173"/>
      <c r="Z4" s="174"/>
    </row>
    <row r="5" spans="1:26" x14ac:dyDescent="0.25">
      <c r="B5" s="175">
        <v>150000</v>
      </c>
      <c r="C5" s="152">
        <v>80000</v>
      </c>
      <c r="F5" s="163" t="s">
        <v>214</v>
      </c>
      <c r="G5" s="164">
        <f>B36</f>
        <v>25000</v>
      </c>
      <c r="H5" s="164"/>
      <c r="I5" s="164"/>
      <c r="J5" s="164"/>
      <c r="K5" s="164">
        <f t="shared" si="0"/>
        <v>25000</v>
      </c>
      <c r="L5" s="164"/>
      <c r="M5" s="164"/>
      <c r="N5" s="164"/>
      <c r="O5" s="165">
        <f>K5+M5-L5-N5</f>
        <v>25000</v>
      </c>
      <c r="P5" s="165"/>
      <c r="S5" s="176" t="s">
        <v>215</v>
      </c>
      <c r="T5" s="171"/>
      <c r="U5" s="171"/>
      <c r="V5" s="171" t="s">
        <v>216</v>
      </c>
      <c r="W5" s="171"/>
      <c r="X5" s="173"/>
    </row>
    <row r="6" spans="1:26" x14ac:dyDescent="0.25">
      <c r="B6" s="175">
        <f>180000*0.7</f>
        <v>125999.99999999999</v>
      </c>
      <c r="C6" s="152">
        <v>50000</v>
      </c>
      <c r="F6" s="163" t="s">
        <v>81</v>
      </c>
      <c r="G6" s="164">
        <f>B61</f>
        <v>54000</v>
      </c>
      <c r="H6" s="164"/>
      <c r="I6" s="164"/>
      <c r="J6" s="164"/>
      <c r="K6" s="164">
        <f t="shared" si="0"/>
        <v>54000</v>
      </c>
      <c r="L6" s="164"/>
      <c r="M6" s="164"/>
      <c r="N6" s="164"/>
      <c r="O6" s="165">
        <f>K6+M6-L6-N6</f>
        <v>54000</v>
      </c>
      <c r="P6" s="165"/>
      <c r="S6" s="176" t="s">
        <v>50</v>
      </c>
      <c r="T6" s="171"/>
      <c r="U6" s="171"/>
      <c r="V6" s="171"/>
      <c r="W6" s="171"/>
      <c r="X6" s="173"/>
    </row>
    <row r="7" spans="1:26" x14ac:dyDescent="0.25">
      <c r="B7" s="175"/>
      <c r="C7" s="152">
        <v>15000</v>
      </c>
      <c r="F7" s="163" t="s">
        <v>217</v>
      </c>
      <c r="G7" s="164">
        <f>B46</f>
        <v>80000</v>
      </c>
      <c r="H7" s="164"/>
      <c r="I7" s="164"/>
      <c r="J7" s="164"/>
      <c r="K7" s="164">
        <f t="shared" si="0"/>
        <v>80000</v>
      </c>
      <c r="L7" s="164"/>
      <c r="M7" s="164"/>
      <c r="N7" s="164"/>
      <c r="O7" s="165">
        <f>K7-L8</f>
        <v>72000</v>
      </c>
      <c r="P7" s="165"/>
      <c r="S7" s="176"/>
      <c r="T7" s="171"/>
      <c r="U7" s="171"/>
      <c r="V7" s="171"/>
      <c r="W7" s="171"/>
      <c r="X7" s="173"/>
    </row>
    <row r="8" spans="1:26" x14ac:dyDescent="0.25">
      <c r="B8" s="175"/>
      <c r="C8" s="152">
        <v>15000</v>
      </c>
      <c r="F8" s="163" t="s">
        <v>218</v>
      </c>
      <c r="G8" s="164"/>
      <c r="H8" s="164"/>
      <c r="I8" s="164"/>
      <c r="J8" s="164">
        <f>G7/10</f>
        <v>8000</v>
      </c>
      <c r="K8" s="164"/>
      <c r="L8" s="164">
        <f t="shared" ref="L8:L13" si="1">J8+H8-I8</f>
        <v>8000</v>
      </c>
      <c r="M8" s="164"/>
      <c r="N8" s="164"/>
      <c r="O8" s="165"/>
      <c r="P8" s="165"/>
      <c r="S8" s="176" t="s">
        <v>219</v>
      </c>
      <c r="T8" s="171"/>
      <c r="U8" s="171"/>
      <c r="V8" s="152" t="s">
        <v>220</v>
      </c>
      <c r="X8" s="173"/>
    </row>
    <row r="9" spans="1:26" x14ac:dyDescent="0.25">
      <c r="A9" s="152" t="s">
        <v>221</v>
      </c>
      <c r="B9" s="152">
        <f>SUM(B4:B8)-SUM(C4:C8)</f>
        <v>272000</v>
      </c>
      <c r="F9" s="163" t="s">
        <v>222</v>
      </c>
      <c r="G9" s="164"/>
      <c r="H9" s="164">
        <f>+C31</f>
        <v>50000</v>
      </c>
      <c r="I9" s="164"/>
      <c r="J9" s="164"/>
      <c r="K9" s="164"/>
      <c r="L9" s="164">
        <f t="shared" si="1"/>
        <v>50000</v>
      </c>
      <c r="M9" s="164"/>
      <c r="N9" s="164"/>
      <c r="O9" s="165"/>
      <c r="P9" s="165">
        <f>N9+L9-M9</f>
        <v>50000</v>
      </c>
      <c r="S9" s="177" t="s">
        <v>7</v>
      </c>
      <c r="V9" s="171" t="s">
        <v>223</v>
      </c>
      <c r="W9" s="171"/>
      <c r="X9" s="173"/>
    </row>
    <row r="10" spans="1:26" x14ac:dyDescent="0.25">
      <c r="A10" s="152" t="s">
        <v>224</v>
      </c>
      <c r="B10" s="152">
        <v>86000</v>
      </c>
      <c r="F10" s="163" t="s">
        <v>225</v>
      </c>
      <c r="G10" s="164"/>
      <c r="H10" s="164">
        <f>C41</f>
        <v>1200</v>
      </c>
      <c r="I10" s="164"/>
      <c r="J10" s="164"/>
      <c r="K10" s="164"/>
      <c r="L10" s="164">
        <f t="shared" si="1"/>
        <v>1200</v>
      </c>
      <c r="M10" s="164"/>
      <c r="N10" s="164"/>
      <c r="O10" s="165"/>
      <c r="P10" s="165">
        <f>N10+L10-M10</f>
        <v>1200</v>
      </c>
      <c r="S10" s="176" t="s">
        <v>226</v>
      </c>
      <c r="T10" s="171"/>
      <c r="U10" s="171"/>
      <c r="V10" s="178" t="s">
        <v>227</v>
      </c>
      <c r="W10" s="178"/>
      <c r="X10" s="179">
        <f>SUM(X5:X9)</f>
        <v>0</v>
      </c>
    </row>
    <row r="11" spans="1:26" x14ac:dyDescent="0.25">
      <c r="A11" s="152" t="s">
        <v>228</v>
      </c>
      <c r="B11" s="152">
        <f>B9-B10</f>
        <v>186000</v>
      </c>
      <c r="F11" s="163" t="s">
        <v>229</v>
      </c>
      <c r="G11" s="164"/>
      <c r="H11" s="164">
        <f>C21</f>
        <v>150000</v>
      </c>
      <c r="I11" s="164"/>
      <c r="J11" s="164"/>
      <c r="K11" s="164"/>
      <c r="L11" s="164">
        <f t="shared" si="1"/>
        <v>150000</v>
      </c>
      <c r="M11" s="164"/>
      <c r="N11" s="164"/>
      <c r="O11" s="165"/>
      <c r="P11" s="165">
        <f>N11+L11-M11</f>
        <v>150000</v>
      </c>
      <c r="S11" s="180" t="s">
        <v>41</v>
      </c>
      <c r="T11" s="178"/>
      <c r="U11" s="178">
        <f>SUM(U5:U10)</f>
        <v>0</v>
      </c>
      <c r="V11" s="181" t="s">
        <v>230</v>
      </c>
      <c r="W11" s="171"/>
      <c r="X11" s="173"/>
    </row>
    <row r="12" spans="1:26" x14ac:dyDescent="0.25">
      <c r="F12" s="163" t="s">
        <v>125</v>
      </c>
      <c r="G12" s="164"/>
      <c r="H12" s="164">
        <f>B4</f>
        <v>280000</v>
      </c>
      <c r="I12" s="164"/>
      <c r="J12" s="164"/>
      <c r="K12" s="164"/>
      <c r="L12" s="164">
        <f t="shared" si="1"/>
        <v>280000</v>
      </c>
      <c r="M12" s="164"/>
      <c r="N12" s="164"/>
      <c r="O12" s="165"/>
      <c r="P12" s="165">
        <f>L12-N21</f>
        <v>97800</v>
      </c>
      <c r="S12" s="180"/>
      <c r="T12" s="178"/>
      <c r="U12" s="178"/>
      <c r="V12" s="181"/>
      <c r="W12" s="171"/>
      <c r="X12" s="173"/>
    </row>
    <row r="13" spans="1:26" ht="15.75" thickBot="1" x14ac:dyDescent="0.3">
      <c r="B13" s="161" t="s">
        <v>125</v>
      </c>
      <c r="C13" s="162"/>
      <c r="F13" s="163" t="s">
        <v>231</v>
      </c>
      <c r="G13" s="164"/>
      <c r="H13" s="164">
        <f>C51</f>
        <v>180000</v>
      </c>
      <c r="I13" s="164"/>
      <c r="J13" s="164"/>
      <c r="K13" s="164"/>
      <c r="L13" s="164">
        <f t="shared" si="1"/>
        <v>180000</v>
      </c>
      <c r="M13" s="165"/>
      <c r="N13" s="165">
        <f>L13+J13-K13</f>
        <v>180000</v>
      </c>
      <c r="O13" s="165"/>
      <c r="P13" s="165"/>
      <c r="S13" s="170" t="s">
        <v>5</v>
      </c>
      <c r="T13" s="171"/>
      <c r="U13" s="171"/>
      <c r="V13" s="177" t="s">
        <v>229</v>
      </c>
      <c r="W13" s="171"/>
      <c r="X13" s="173"/>
    </row>
    <row r="14" spans="1:26" ht="15.75" thickTop="1" x14ac:dyDescent="0.25">
      <c r="B14" s="169"/>
      <c r="C14" s="152">
        <v>280000</v>
      </c>
      <c r="F14" s="163" t="s">
        <v>232</v>
      </c>
      <c r="G14" s="164">
        <f>B71</f>
        <v>75000</v>
      </c>
      <c r="H14" s="164"/>
      <c r="I14" s="164"/>
      <c r="J14" s="164"/>
      <c r="K14" s="164">
        <f t="shared" si="0"/>
        <v>75000</v>
      </c>
      <c r="L14" s="164"/>
      <c r="M14" s="165">
        <f t="shared" ref="M14:M20" si="2">I14+K14-J14-L14</f>
        <v>75000</v>
      </c>
      <c r="N14" s="165"/>
      <c r="O14" s="165"/>
      <c r="P14" s="165"/>
      <c r="S14" s="176" t="s">
        <v>98</v>
      </c>
      <c r="T14" s="171"/>
      <c r="U14" s="171"/>
      <c r="V14" s="171" t="s">
        <v>233</v>
      </c>
      <c r="W14" s="171"/>
      <c r="X14" s="173"/>
    </row>
    <row r="15" spans="1:26" x14ac:dyDescent="0.25">
      <c r="B15" s="175"/>
      <c r="F15" s="163" t="s">
        <v>234</v>
      </c>
      <c r="G15" s="164">
        <f>B11</f>
        <v>186000</v>
      </c>
      <c r="H15" s="164"/>
      <c r="I15" s="164"/>
      <c r="J15" s="164"/>
      <c r="K15" s="164">
        <f t="shared" si="0"/>
        <v>186000</v>
      </c>
      <c r="L15" s="164"/>
      <c r="M15" s="165">
        <f t="shared" si="2"/>
        <v>186000</v>
      </c>
      <c r="N15" s="165"/>
      <c r="O15" s="165"/>
      <c r="P15" s="165"/>
      <c r="S15" s="180" t="s">
        <v>43</v>
      </c>
      <c r="T15" s="178"/>
      <c r="U15" s="178">
        <f>SUM(U14:U14)</f>
        <v>0</v>
      </c>
      <c r="V15" s="172" t="s">
        <v>125</v>
      </c>
      <c r="W15" s="171"/>
      <c r="X15" s="173"/>
    </row>
    <row r="16" spans="1:26" x14ac:dyDescent="0.25">
      <c r="A16" s="152" t="s">
        <v>125</v>
      </c>
      <c r="C16" s="152">
        <f>C14</f>
        <v>280000</v>
      </c>
      <c r="F16" s="163" t="s">
        <v>235</v>
      </c>
      <c r="G16" s="164"/>
      <c r="H16" s="164"/>
      <c r="I16" s="164">
        <v>62000</v>
      </c>
      <c r="J16" s="164"/>
      <c r="K16" s="164">
        <f t="shared" si="0"/>
        <v>62000</v>
      </c>
      <c r="L16" s="164"/>
      <c r="M16" s="165">
        <v>62000</v>
      </c>
      <c r="N16" s="165"/>
      <c r="O16" s="165"/>
      <c r="P16" s="165"/>
      <c r="S16" s="180"/>
      <c r="T16" s="178"/>
      <c r="U16" s="178"/>
      <c r="V16" s="171" t="s">
        <v>236</v>
      </c>
      <c r="W16" s="171"/>
      <c r="X16" s="173"/>
    </row>
    <row r="17" spans="1:24" x14ac:dyDescent="0.25">
      <c r="F17" s="163" t="s">
        <v>192</v>
      </c>
      <c r="G17" s="164"/>
      <c r="H17" s="164"/>
      <c r="I17" s="164">
        <v>8000</v>
      </c>
      <c r="J17" s="164"/>
      <c r="K17" s="164">
        <f t="shared" si="0"/>
        <v>8000</v>
      </c>
      <c r="L17" s="164"/>
      <c r="M17" s="165">
        <v>8000</v>
      </c>
      <c r="N17" s="165"/>
      <c r="O17" s="165"/>
      <c r="P17" s="165"/>
      <c r="S17" s="170" t="s">
        <v>53</v>
      </c>
      <c r="T17" s="178"/>
      <c r="U17" s="178"/>
      <c r="V17" s="171" t="s">
        <v>237</v>
      </c>
      <c r="W17" s="171"/>
      <c r="X17" s="173"/>
    </row>
    <row r="18" spans="1:24" ht="15.75" thickBot="1" x14ac:dyDescent="0.3">
      <c r="B18" s="161" t="s">
        <v>238</v>
      </c>
      <c r="C18" s="162"/>
      <c r="F18" s="163" t="s">
        <v>193</v>
      </c>
      <c r="G18" s="164">
        <f>C7</f>
        <v>15000</v>
      </c>
      <c r="H18" s="164"/>
      <c r="I18" s="164"/>
      <c r="J18" s="164"/>
      <c r="K18" s="164">
        <f t="shared" si="0"/>
        <v>15000</v>
      </c>
      <c r="L18" s="164"/>
      <c r="M18" s="165">
        <f t="shared" si="2"/>
        <v>15000</v>
      </c>
      <c r="N18" s="165"/>
      <c r="O18" s="165"/>
      <c r="P18" s="165"/>
      <c r="S18" s="182" t="s">
        <v>239</v>
      </c>
      <c r="U18" s="177"/>
      <c r="V18" s="177" t="s">
        <v>240</v>
      </c>
      <c r="W18" s="171"/>
      <c r="X18" s="173"/>
    </row>
    <row r="19" spans="1:24" ht="15.75" thickTop="1" x14ac:dyDescent="0.25">
      <c r="B19" s="169"/>
      <c r="C19" s="152">
        <v>150000</v>
      </c>
      <c r="F19" s="163" t="s">
        <v>241</v>
      </c>
      <c r="G19" s="164">
        <f>B66</f>
        <v>1200</v>
      </c>
      <c r="H19" s="164"/>
      <c r="I19" s="164"/>
      <c r="J19" s="164"/>
      <c r="K19" s="164">
        <f t="shared" si="0"/>
        <v>1200</v>
      </c>
      <c r="L19" s="164"/>
      <c r="M19" s="165">
        <f t="shared" si="2"/>
        <v>1200</v>
      </c>
      <c r="N19" s="165"/>
      <c r="O19" s="165"/>
      <c r="P19" s="165"/>
      <c r="S19" s="152" t="s">
        <v>242</v>
      </c>
      <c r="V19" s="178" t="s">
        <v>44</v>
      </c>
      <c r="W19" s="178"/>
      <c r="X19" s="179">
        <f>W18+W17+W16</f>
        <v>0</v>
      </c>
    </row>
    <row r="20" spans="1:24" x14ac:dyDescent="0.25">
      <c r="B20" s="175"/>
      <c r="F20" s="163" t="s">
        <v>243</v>
      </c>
      <c r="G20" s="164">
        <f>B56</f>
        <v>15000</v>
      </c>
      <c r="H20" s="164"/>
      <c r="I20" s="164"/>
      <c r="J20" s="164"/>
      <c r="K20" s="164">
        <f t="shared" si="0"/>
        <v>15000</v>
      </c>
      <c r="L20" s="164"/>
      <c r="M20" s="165">
        <f t="shared" si="2"/>
        <v>15000</v>
      </c>
      <c r="N20" s="165"/>
      <c r="O20" s="165"/>
      <c r="P20" s="165"/>
    </row>
    <row r="21" spans="1:24" x14ac:dyDescent="0.25">
      <c r="A21" s="152" t="s">
        <v>238</v>
      </c>
      <c r="C21" s="152">
        <f>C19</f>
        <v>150000</v>
      </c>
      <c r="F21" s="163" t="s">
        <v>244</v>
      </c>
      <c r="G21" s="164"/>
      <c r="H21" s="164"/>
      <c r="I21" s="164"/>
      <c r="J21" s="164"/>
      <c r="K21" s="164"/>
      <c r="L21" s="164"/>
      <c r="M21" s="165"/>
      <c r="N21" s="165">
        <f>M22-N22</f>
        <v>182200</v>
      </c>
      <c r="O21" s="165"/>
      <c r="P21" s="165"/>
      <c r="S21" s="157" t="s">
        <v>245</v>
      </c>
    </row>
    <row r="22" spans="1:24" ht="15.75" thickBot="1" x14ac:dyDescent="0.3">
      <c r="F22" s="183" t="s">
        <v>246</v>
      </c>
      <c r="G22" s="184">
        <f t="shared" ref="G22:P22" si="3">SUM(G3:G20)</f>
        <v>661200</v>
      </c>
      <c r="H22" s="184">
        <f t="shared" si="3"/>
        <v>661200</v>
      </c>
      <c r="I22" s="184">
        <f t="shared" si="3"/>
        <v>70000</v>
      </c>
      <c r="J22" s="184">
        <f t="shared" si="3"/>
        <v>70000</v>
      </c>
      <c r="K22" s="184">
        <f t="shared" si="3"/>
        <v>669200</v>
      </c>
      <c r="L22" s="184">
        <f t="shared" si="3"/>
        <v>669200</v>
      </c>
      <c r="M22" s="184">
        <f t="shared" si="3"/>
        <v>362200</v>
      </c>
      <c r="N22" s="184">
        <f t="shared" si="3"/>
        <v>180000</v>
      </c>
      <c r="O22" s="185">
        <f t="shared" si="3"/>
        <v>299000</v>
      </c>
      <c r="P22" s="185">
        <f t="shared" si="3"/>
        <v>299000</v>
      </c>
      <c r="S22" s="186" t="s">
        <v>247</v>
      </c>
    </row>
    <row r="23" spans="1:24" ht="15.75" thickBot="1" x14ac:dyDescent="0.3">
      <c r="B23" s="161" t="s">
        <v>39</v>
      </c>
      <c r="C23" s="162"/>
      <c r="S23" s="187"/>
    </row>
    <row r="24" spans="1:24" ht="16.5" thickTop="1" thickBot="1" x14ac:dyDescent="0.3">
      <c r="B24" s="169">
        <v>124000</v>
      </c>
      <c r="F24" s="187" t="s">
        <v>248</v>
      </c>
    </row>
    <row r="25" spans="1:24" x14ac:dyDescent="0.25">
      <c r="B25" s="175"/>
      <c r="F25" s="223">
        <v>1</v>
      </c>
      <c r="G25" s="223" t="s">
        <v>249</v>
      </c>
      <c r="H25" s="218"/>
    </row>
    <row r="26" spans="1:24" x14ac:dyDescent="0.25">
      <c r="A26" s="152" t="s">
        <v>39</v>
      </c>
      <c r="B26" s="152">
        <f>SUM(B24:B25)-SUM(C24:C25)</f>
        <v>124000</v>
      </c>
      <c r="F26" s="223">
        <v>2</v>
      </c>
      <c r="G26" s="223" t="s">
        <v>250</v>
      </c>
      <c r="H26" s="219"/>
    </row>
    <row r="27" spans="1:24" x14ac:dyDescent="0.25">
      <c r="F27" s="223">
        <v>3</v>
      </c>
      <c r="G27" s="223" t="s">
        <v>249</v>
      </c>
      <c r="H27" s="219"/>
    </row>
    <row r="28" spans="1:24" ht="15.75" thickBot="1" x14ac:dyDescent="0.3">
      <c r="B28" s="161" t="s">
        <v>222</v>
      </c>
      <c r="C28" s="162"/>
      <c r="F28" s="223">
        <v>4</v>
      </c>
      <c r="G28" s="223" t="s">
        <v>251</v>
      </c>
      <c r="H28" s="219"/>
    </row>
    <row r="29" spans="1:24" ht="15.75" thickTop="1" x14ac:dyDescent="0.25">
      <c r="B29" s="169">
        <v>50000</v>
      </c>
      <c r="C29" s="152">
        <v>100000</v>
      </c>
      <c r="F29" s="223">
        <v>5</v>
      </c>
      <c r="G29" s="223" t="s">
        <v>251</v>
      </c>
      <c r="H29" s="219"/>
    </row>
    <row r="30" spans="1:24" x14ac:dyDescent="0.25">
      <c r="B30" s="175"/>
      <c r="F30" s="223"/>
      <c r="G30" s="223"/>
      <c r="H30" s="219"/>
    </row>
    <row r="31" spans="1:24" ht="15.75" thickBot="1" x14ac:dyDescent="0.3">
      <c r="A31" s="152" t="s">
        <v>222</v>
      </c>
      <c r="C31" s="152">
        <f>C29-B29</f>
        <v>50000</v>
      </c>
      <c r="F31" s="220"/>
      <c r="G31" s="221"/>
      <c r="H31" s="222"/>
    </row>
    <row r="33" spans="1:6" ht="15.75" thickBot="1" x14ac:dyDescent="0.3">
      <c r="B33" s="161" t="s">
        <v>214</v>
      </c>
      <c r="C33" s="162"/>
    </row>
    <row r="34" spans="1:6" ht="15.75" thickTop="1" x14ac:dyDescent="0.25">
      <c r="B34" s="169">
        <v>100000</v>
      </c>
      <c r="C34" s="152">
        <v>75000</v>
      </c>
      <c r="F34" s="239"/>
    </row>
    <row r="35" spans="1:6" x14ac:dyDescent="0.25">
      <c r="B35" s="175"/>
      <c r="F35" s="240" t="s">
        <v>285</v>
      </c>
    </row>
    <row r="36" spans="1:6" x14ac:dyDescent="0.25">
      <c r="A36" s="152" t="s">
        <v>214</v>
      </c>
      <c r="B36" s="152">
        <f>SUM(B34:B35)-SUM(C34:C35)</f>
        <v>25000</v>
      </c>
      <c r="F36" s="241" t="s">
        <v>289</v>
      </c>
    </row>
    <row r="37" spans="1:6" x14ac:dyDescent="0.25">
      <c r="F37" s="241" t="s">
        <v>290</v>
      </c>
    </row>
    <row r="38" spans="1:6" ht="15.75" thickBot="1" x14ac:dyDescent="0.3">
      <c r="B38" s="161" t="s">
        <v>225</v>
      </c>
      <c r="C38" s="162"/>
      <c r="F38" s="241"/>
    </row>
    <row r="39" spans="1:6" ht="16.5" thickTop="1" thickBot="1" x14ac:dyDescent="0.3">
      <c r="B39" s="169"/>
      <c r="C39" s="152">
        <v>1200</v>
      </c>
      <c r="F39" s="242"/>
    </row>
    <row r="40" spans="1:6" x14ac:dyDescent="0.25">
      <c r="B40" s="175"/>
    </row>
    <row r="41" spans="1:6" x14ac:dyDescent="0.25">
      <c r="A41" s="152" t="s">
        <v>225</v>
      </c>
      <c r="C41" s="152">
        <f>C39-B39</f>
        <v>1200</v>
      </c>
    </row>
    <row r="43" spans="1:6" ht="15.75" thickBot="1" x14ac:dyDescent="0.3">
      <c r="B43" s="161" t="s">
        <v>217</v>
      </c>
      <c r="C43" s="162"/>
    </row>
    <row r="44" spans="1:6" ht="15.75" thickTop="1" x14ac:dyDescent="0.25">
      <c r="B44" s="169">
        <v>80000</v>
      </c>
    </row>
    <row r="45" spans="1:6" x14ac:dyDescent="0.25">
      <c r="B45" s="175"/>
    </row>
    <row r="46" spans="1:6" x14ac:dyDescent="0.25">
      <c r="A46" s="152" t="s">
        <v>217</v>
      </c>
      <c r="B46" s="152">
        <f>SUM(B44:B45)-SUM(C44:C45)</f>
        <v>80000</v>
      </c>
    </row>
    <row r="48" spans="1:6" ht="15.75" thickBot="1" x14ac:dyDescent="0.3">
      <c r="B48" s="161" t="s">
        <v>79</v>
      </c>
      <c r="C48" s="162"/>
    </row>
    <row r="49" spans="1:3" ht="15.75" thickTop="1" x14ac:dyDescent="0.25">
      <c r="B49" s="169"/>
      <c r="C49" s="152">
        <v>180000</v>
      </c>
    </row>
    <row r="50" spans="1:3" x14ac:dyDescent="0.25">
      <c r="B50" s="175"/>
    </row>
    <row r="51" spans="1:3" x14ac:dyDescent="0.25">
      <c r="A51" s="152" t="s">
        <v>79</v>
      </c>
      <c r="C51" s="152">
        <f>C49-B49</f>
        <v>180000</v>
      </c>
    </row>
    <row r="53" spans="1:3" ht="15.75" thickBot="1" x14ac:dyDescent="0.3">
      <c r="B53" s="161" t="s">
        <v>243</v>
      </c>
      <c r="C53" s="162"/>
    </row>
    <row r="54" spans="1:3" ht="15.75" thickTop="1" x14ac:dyDescent="0.25">
      <c r="B54" s="169">
        <v>15000</v>
      </c>
    </row>
    <row r="55" spans="1:3" x14ac:dyDescent="0.25">
      <c r="B55" s="175"/>
    </row>
    <row r="56" spans="1:3" x14ac:dyDescent="0.25">
      <c r="A56" s="152" t="s">
        <v>243</v>
      </c>
      <c r="B56" s="152">
        <f>SUM(B54:B55)-SUM(C54:C55)</f>
        <v>15000</v>
      </c>
    </row>
    <row r="58" spans="1:3" ht="15.75" thickBot="1" x14ac:dyDescent="0.3">
      <c r="B58" s="161" t="s">
        <v>81</v>
      </c>
      <c r="C58" s="162"/>
    </row>
    <row r="59" spans="1:3" ht="15.75" thickTop="1" x14ac:dyDescent="0.25">
      <c r="B59" s="169">
        <f>180000*0.3</f>
        <v>54000</v>
      </c>
    </row>
    <row r="60" spans="1:3" x14ac:dyDescent="0.25">
      <c r="B60" s="175"/>
    </row>
    <row r="61" spans="1:3" x14ac:dyDescent="0.25">
      <c r="A61" s="152" t="s">
        <v>81</v>
      </c>
      <c r="B61" s="152">
        <f>SUM(B59:B60)-SUM(C59:C60)</f>
        <v>54000</v>
      </c>
    </row>
    <row r="63" spans="1:3" ht="15.75" thickBot="1" x14ac:dyDescent="0.3">
      <c r="B63" s="161" t="s">
        <v>241</v>
      </c>
      <c r="C63" s="162"/>
    </row>
    <row r="64" spans="1:3" ht="15.75" thickTop="1" x14ac:dyDescent="0.25">
      <c r="B64" s="169">
        <v>1200</v>
      </c>
    </row>
    <row r="65" spans="1:3" x14ac:dyDescent="0.25">
      <c r="B65" s="175"/>
    </row>
    <row r="66" spans="1:3" x14ac:dyDescent="0.25">
      <c r="A66" s="152" t="s">
        <v>241</v>
      </c>
      <c r="B66" s="152">
        <f>SUM(B64:B65)-SUM(C64:C65)</f>
        <v>1200</v>
      </c>
    </row>
    <row r="68" spans="1:3" ht="15.75" thickBot="1" x14ac:dyDescent="0.3">
      <c r="B68" s="161" t="s">
        <v>232</v>
      </c>
      <c r="C68" s="162"/>
    </row>
    <row r="69" spans="1:3" ht="15.75" thickTop="1" x14ac:dyDescent="0.25">
      <c r="B69" s="169">
        <v>75000</v>
      </c>
    </row>
    <row r="70" spans="1:3" x14ac:dyDescent="0.25">
      <c r="B70" s="175"/>
    </row>
    <row r="71" spans="1:3" x14ac:dyDescent="0.25">
      <c r="A71" s="152" t="s">
        <v>232</v>
      </c>
      <c r="B71" s="152">
        <f>SUM(B69:B70)-SUM(C69:C70)</f>
        <v>75000</v>
      </c>
    </row>
    <row r="73" spans="1:3" ht="15.75" thickBot="1" x14ac:dyDescent="0.3">
      <c r="B73" s="161" t="s">
        <v>193</v>
      </c>
      <c r="C73" s="162"/>
    </row>
    <row r="74" spans="1:3" ht="15.75" thickTop="1" x14ac:dyDescent="0.25">
      <c r="B74" s="169">
        <v>15000</v>
      </c>
    </row>
    <row r="75" spans="1:3" x14ac:dyDescent="0.25">
      <c r="B75" s="175"/>
    </row>
    <row r="76" spans="1:3" x14ac:dyDescent="0.25">
      <c r="A76" s="152" t="s">
        <v>193</v>
      </c>
      <c r="B76" s="152">
        <f>SUM(B74:B75)-SUM(C74:C75)</f>
        <v>15000</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defaultRowHeight="15" x14ac:dyDescent="0.25"/>
  <cols>
    <col min="1" max="1" width="1.140625" customWidth="1"/>
    <col min="2" max="2" width="64.42578125" customWidth="1"/>
    <col min="3" max="3" width="1.5703125" customWidth="1"/>
    <col min="4" max="4" width="5.5703125" customWidth="1"/>
    <col min="5" max="5" width="16" customWidth="1"/>
  </cols>
  <sheetData>
    <row r="1" spans="2:5" x14ac:dyDescent="0.25">
      <c r="B1" s="188" t="s">
        <v>252</v>
      </c>
      <c r="C1" s="189"/>
      <c r="D1" s="194"/>
      <c r="E1" s="194"/>
    </row>
    <row r="2" spans="2:5" x14ac:dyDescent="0.25">
      <c r="B2" s="188" t="s">
        <v>253</v>
      </c>
      <c r="C2" s="189"/>
      <c r="D2" s="194"/>
      <c r="E2" s="194"/>
    </row>
    <row r="3" spans="2:5" x14ac:dyDescent="0.25">
      <c r="B3" s="190"/>
      <c r="C3" s="190"/>
      <c r="D3" s="195"/>
      <c r="E3" s="195"/>
    </row>
    <row r="4" spans="2:5" ht="45" x14ac:dyDescent="0.25">
      <c r="B4" s="191" t="s">
        <v>254</v>
      </c>
      <c r="C4" s="190"/>
      <c r="D4" s="195"/>
      <c r="E4" s="195"/>
    </row>
    <row r="5" spans="2:5" x14ac:dyDescent="0.25">
      <c r="B5" s="190"/>
      <c r="C5" s="190"/>
      <c r="D5" s="195"/>
      <c r="E5" s="195"/>
    </row>
    <row r="6" spans="2:5" x14ac:dyDescent="0.25">
      <c r="B6" s="188" t="s">
        <v>255</v>
      </c>
      <c r="C6" s="189"/>
      <c r="D6" s="194"/>
      <c r="E6" s="196" t="s">
        <v>256</v>
      </c>
    </row>
    <row r="7" spans="2:5" ht="15.75" thickBot="1" x14ac:dyDescent="0.3">
      <c r="B7" s="190"/>
      <c r="C7" s="190"/>
      <c r="D7" s="195"/>
      <c r="E7" s="195"/>
    </row>
    <row r="8" spans="2:5" ht="45.75" thickBot="1" x14ac:dyDescent="0.3">
      <c r="B8" s="192" t="s">
        <v>257</v>
      </c>
      <c r="C8" s="193"/>
      <c r="D8" s="197"/>
      <c r="E8" s="198">
        <v>34</v>
      </c>
    </row>
    <row r="9" spans="2:5" x14ac:dyDescent="0.25">
      <c r="B9" s="190"/>
      <c r="C9" s="190"/>
      <c r="D9" s="195"/>
      <c r="E9" s="195"/>
    </row>
    <row r="10" spans="2:5" x14ac:dyDescent="0.25">
      <c r="B10" s="190"/>
      <c r="C10" s="190"/>
      <c r="D10" s="195"/>
      <c r="E10" s="19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S1Q1</vt:lpstr>
      <vt:lpstr>S1 Q2</vt:lpstr>
      <vt:lpstr>S1 Q3</vt:lpstr>
      <vt:lpstr>S2 Q1</vt:lpstr>
      <vt:lpstr>S2 Q2</vt:lpstr>
      <vt:lpstr>S2 Q3</vt:lpstr>
      <vt:lpstr>Compatibility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2017-08-09T10:51:37Z</dcterms:modified>
</cp:coreProperties>
</file>